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Петанк\4 шара\"/>
    </mc:Choice>
  </mc:AlternateContent>
  <bookViews>
    <workbookView xWindow="-120" yWindow="-120" windowWidth="29040" windowHeight="15840" firstSheet="1" activeTab="10"/>
  </bookViews>
  <sheets>
    <sheet name="Регистрация" sheetId="1" r:id="rId1"/>
    <sheet name="A" sheetId="4" r:id="rId2"/>
    <sheet name="B" sheetId="5" r:id="rId3"/>
    <sheet name="C" sheetId="6" r:id="rId4"/>
    <sheet name="D" sheetId="7" r:id="rId5"/>
    <sheet name="E" sheetId="8" r:id="rId6"/>
    <sheet name="F" sheetId="9" r:id="rId7"/>
    <sheet name="G" sheetId="10" r:id="rId8"/>
    <sheet name="H" sheetId="11" r:id="rId9"/>
    <sheet name="Швейцарка" sheetId="12" r:id="rId10"/>
    <sheet name="Плей-офф" sheetId="13" r:id="rId11"/>
    <sheet name="Рейтинг жен" sheetId="2" r:id="rId12"/>
    <sheet name="Рейтинг муж" sheetId="3" r:id="rId13"/>
  </sheets>
  <definedNames>
    <definedName name="swiss_res" localSheetId="9">Швейцарка!$A$3:$F$22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I12" i="11"/>
  <c r="F8" i="10"/>
  <c r="H12" i="10"/>
  <c r="C34" i="7"/>
  <c r="C19" i="6"/>
  <c r="H10" i="6"/>
  <c r="G4" i="9"/>
  <c r="F10" i="9"/>
  <c r="H12" i="8"/>
  <c r="H30" i="11"/>
  <c r="C35" i="10"/>
  <c r="G10" i="10"/>
  <c r="J10" i="7"/>
  <c r="F6" i="7"/>
  <c r="G4" i="6"/>
  <c r="F6" i="6"/>
  <c r="H12" i="9"/>
  <c r="K4" i="9"/>
  <c r="I14" i="8"/>
  <c r="F6" i="8"/>
  <c r="G8" i="8"/>
  <c r="H10" i="5"/>
  <c r="G10" i="11"/>
  <c r="C30" i="11"/>
  <c r="I6" i="7"/>
  <c r="H6" i="6"/>
  <c r="G8" i="6"/>
  <c r="J10" i="9"/>
  <c r="J14" i="9"/>
  <c r="F12" i="9"/>
  <c r="H4" i="11"/>
  <c r="J4" i="11"/>
  <c r="J6" i="10"/>
  <c r="J7" i="10"/>
  <c r="H30" i="7"/>
  <c r="F8" i="7"/>
  <c r="J6" i="6"/>
  <c r="C34" i="6"/>
  <c r="I4" i="9"/>
  <c r="F14" i="9"/>
  <c r="H35" i="9"/>
  <c r="C37" i="8"/>
  <c r="H11" i="5"/>
  <c r="F8" i="4"/>
  <c r="C35" i="4"/>
  <c r="H22" i="5"/>
  <c r="H36" i="8"/>
  <c r="H27" i="9"/>
  <c r="C35" i="7"/>
  <c r="G14" i="5"/>
  <c r="H14" i="5"/>
  <c r="J8" i="4"/>
  <c r="C40" i="5"/>
  <c r="I8" i="11"/>
  <c r="J8" i="10"/>
  <c r="F6" i="10"/>
  <c r="F12" i="7"/>
  <c r="H4" i="6"/>
  <c r="H26" i="6"/>
  <c r="G14" i="9"/>
  <c r="G12" i="9"/>
  <c r="H31" i="9"/>
  <c r="F8" i="8"/>
  <c r="G8" i="11"/>
  <c r="J4" i="10"/>
  <c r="J6" i="7"/>
  <c r="I6" i="6"/>
  <c r="H34" i="6"/>
  <c r="C20" i="9"/>
  <c r="K10" i="9"/>
  <c r="K8" i="8"/>
  <c r="J8" i="8"/>
  <c r="F12" i="8"/>
  <c r="H12" i="5"/>
  <c r="C41" i="5"/>
  <c r="J8" i="11"/>
  <c r="G11" i="11"/>
  <c r="I6" i="10"/>
  <c r="G8" i="10"/>
  <c r="I4" i="7"/>
  <c r="F10" i="6"/>
  <c r="F12" i="6"/>
  <c r="C30" i="6"/>
  <c r="C36" i="9"/>
  <c r="I12" i="9"/>
  <c r="C41" i="8"/>
  <c r="F8" i="11"/>
  <c r="H10" i="11"/>
  <c r="C22" i="10"/>
  <c r="H18" i="10"/>
  <c r="F10" i="7"/>
  <c r="H12" i="7"/>
  <c r="J4" i="7"/>
  <c r="C22" i="6"/>
  <c r="H5" i="6"/>
  <c r="C32" i="9"/>
  <c r="G8" i="9"/>
  <c r="K12" i="8"/>
  <c r="F6" i="5"/>
  <c r="K4" i="5"/>
  <c r="C32" i="4"/>
  <c r="I8" i="4"/>
  <c r="H20" i="4"/>
  <c r="C20" i="5"/>
  <c r="C25" i="9"/>
  <c r="C23" i="7"/>
  <c r="C31" i="8"/>
  <c r="H27" i="5"/>
  <c r="C20" i="4"/>
  <c r="C22" i="4"/>
  <c r="H22" i="8"/>
  <c r="C37" i="9"/>
  <c r="C18" i="10"/>
  <c r="C31" i="11"/>
  <c r="J9" i="8"/>
  <c r="K6" i="5"/>
  <c r="J6" i="11"/>
  <c r="I12" i="10"/>
  <c r="I12" i="6"/>
  <c r="K8" i="9"/>
  <c r="K9" i="9" s="1"/>
  <c r="I14" i="9"/>
  <c r="H4" i="10"/>
  <c r="H4" i="7"/>
  <c r="G12" i="6"/>
  <c r="G13" i="6" s="1"/>
  <c r="H22" i="6"/>
  <c r="G14" i="8"/>
  <c r="G15" i="8" s="1"/>
  <c r="C21" i="8"/>
  <c r="J4" i="5"/>
  <c r="G12" i="10"/>
  <c r="G13" i="10" s="1"/>
  <c r="H6" i="7"/>
  <c r="I4" i="6"/>
  <c r="I6" i="9"/>
  <c r="F12" i="11"/>
  <c r="H6" i="10"/>
  <c r="G8" i="7"/>
  <c r="J10" i="6"/>
  <c r="J4" i="9"/>
  <c r="K12" i="9"/>
  <c r="H10" i="8"/>
  <c r="G10" i="5"/>
  <c r="H31" i="4"/>
  <c r="C42" i="5"/>
  <c r="H30" i="6"/>
  <c r="H4" i="5"/>
  <c r="G10" i="4"/>
  <c r="F6" i="11"/>
  <c r="J8" i="7"/>
  <c r="F8" i="6"/>
  <c r="H4" i="9"/>
  <c r="G10" i="9"/>
  <c r="F10" i="10"/>
  <c r="F11" i="10" s="1"/>
  <c r="I4" i="10"/>
  <c r="C30" i="7"/>
  <c r="C18" i="6"/>
  <c r="F6" i="9"/>
  <c r="I8" i="8"/>
  <c r="F10" i="8"/>
  <c r="H25" i="5"/>
  <c r="J9" i="11"/>
  <c r="G12" i="7"/>
  <c r="H12" i="6"/>
  <c r="H13" i="6" s="1"/>
  <c r="H6" i="9"/>
  <c r="H21" i="9"/>
  <c r="H6" i="11"/>
  <c r="F12" i="10"/>
  <c r="C19" i="7"/>
  <c r="J8" i="6"/>
  <c r="I7" i="6"/>
  <c r="I8" i="9"/>
  <c r="J10" i="8"/>
  <c r="F7" i="8"/>
  <c r="H4" i="4"/>
  <c r="J4" i="4"/>
  <c r="H41" i="8"/>
  <c r="C31" i="7"/>
  <c r="K8" i="4"/>
  <c r="C26" i="5"/>
  <c r="H34" i="7"/>
  <c r="H25" i="8"/>
  <c r="H41" i="5"/>
  <c r="K4" i="4"/>
  <c r="F9" i="4"/>
  <c r="H21" i="5"/>
  <c r="C40" i="9"/>
  <c r="H19" i="10"/>
  <c r="H26" i="11"/>
  <c r="C19" i="10"/>
  <c r="C21" i="5"/>
  <c r="H32" i="4"/>
  <c r="G11" i="4"/>
  <c r="I9" i="8"/>
  <c r="J5" i="10"/>
  <c r="H13" i="10"/>
  <c r="J5" i="4"/>
  <c r="K13" i="8"/>
  <c r="H7" i="11"/>
  <c r="F7" i="10"/>
  <c r="G9" i="7"/>
  <c r="F11" i="9"/>
  <c r="H4" i="8"/>
  <c r="F8" i="5"/>
  <c r="F12" i="5"/>
  <c r="G4" i="4"/>
  <c r="H14" i="4"/>
  <c r="C22" i="5"/>
  <c r="H32" i="8"/>
  <c r="C21" i="9"/>
  <c r="C18" i="7"/>
  <c r="J6" i="8"/>
  <c r="J8" i="5"/>
  <c r="G14" i="4"/>
  <c r="I6" i="4"/>
  <c r="C22" i="8"/>
  <c r="C27" i="6"/>
  <c r="C31" i="10"/>
  <c r="G10" i="8"/>
  <c r="G15" i="5"/>
  <c r="F12" i="4"/>
  <c r="H42" i="8"/>
  <c r="C22" i="11"/>
  <c r="C30" i="5"/>
  <c r="H15" i="4"/>
  <c r="J11" i="6"/>
  <c r="I7" i="4"/>
  <c r="G9" i="11"/>
  <c r="F13" i="7"/>
  <c r="G11" i="9"/>
  <c r="F10" i="5"/>
  <c r="H37" i="4"/>
  <c r="H30" i="8"/>
  <c r="C34" i="11"/>
  <c r="H31" i="8"/>
  <c r="J5" i="5"/>
  <c r="K13" i="9"/>
  <c r="H31" i="11"/>
  <c r="I13" i="10"/>
  <c r="G13" i="9"/>
  <c r="C26" i="9"/>
  <c r="H35" i="8"/>
  <c r="H26" i="9"/>
  <c r="C23" i="10"/>
  <c r="C23" i="11"/>
  <c r="G4" i="8"/>
  <c r="J14" i="5"/>
  <c r="K12" i="5"/>
  <c r="C36" i="4"/>
  <c r="C31" i="4"/>
  <c r="C36" i="5"/>
  <c r="H41" i="9"/>
  <c r="H35" i="10"/>
  <c r="H34" i="11"/>
  <c r="H40" i="8"/>
  <c r="H20" i="5"/>
  <c r="C42" i="4"/>
  <c r="I9" i="4"/>
  <c r="G9" i="9"/>
  <c r="I15" i="9"/>
  <c r="H27" i="10"/>
  <c r="H5" i="5"/>
  <c r="G9" i="8"/>
  <c r="F9" i="7"/>
  <c r="J15" i="9"/>
  <c r="F13" i="11"/>
  <c r="H7" i="7"/>
  <c r="K4" i="8"/>
  <c r="H37" i="5"/>
  <c r="I4" i="4"/>
  <c r="J6" i="4"/>
  <c r="H40" i="4"/>
  <c r="H42" i="5"/>
  <c r="H30" i="9"/>
  <c r="H18" i="7"/>
  <c r="H37" i="8"/>
  <c r="K8" i="5"/>
  <c r="J6" i="5"/>
  <c r="G12" i="4"/>
  <c r="C25" i="4"/>
  <c r="H27" i="8"/>
  <c r="C22" i="7"/>
  <c r="H19" i="11"/>
  <c r="C27" i="8"/>
  <c r="G8" i="5"/>
  <c r="H30" i="4"/>
  <c r="H18" i="6"/>
  <c r="H23" i="11"/>
  <c r="C25" i="5"/>
  <c r="I7" i="9"/>
  <c r="H11" i="6"/>
  <c r="K9" i="5"/>
  <c r="H20" i="9"/>
  <c r="H40" i="5"/>
  <c r="J7" i="4"/>
  <c r="H35" i="6"/>
  <c r="C42" i="8"/>
  <c r="I15" i="8"/>
  <c r="F7" i="5"/>
  <c r="F13" i="6"/>
  <c r="C18" i="11"/>
  <c r="F14" i="4"/>
  <c r="C30" i="10"/>
  <c r="H21" i="4"/>
  <c r="H7" i="6"/>
  <c r="C42" i="9"/>
  <c r="K7" i="5"/>
  <c r="K9" i="4"/>
  <c r="F9" i="11"/>
  <c r="C40" i="8"/>
  <c r="H5" i="10"/>
  <c r="H13" i="7"/>
  <c r="J7" i="7"/>
  <c r="G15" i="4"/>
  <c r="J15" i="5"/>
  <c r="J9" i="6"/>
  <c r="G13" i="11"/>
  <c r="G10" i="7"/>
  <c r="G11" i="7" s="1"/>
  <c r="J4" i="6"/>
  <c r="K6" i="9"/>
  <c r="K7" i="9" s="1"/>
  <c r="H13" i="8"/>
  <c r="H10" i="10"/>
  <c r="H22" i="7"/>
  <c r="I13" i="6"/>
  <c r="H10" i="9"/>
  <c r="H11" i="9" s="1"/>
  <c r="J14" i="8"/>
  <c r="J15" i="8" s="1"/>
  <c r="I4" i="5"/>
  <c r="G4" i="11"/>
  <c r="G4" i="10"/>
  <c r="C31" i="6"/>
  <c r="J6" i="9"/>
  <c r="J7" i="9" s="1"/>
  <c r="I4" i="8"/>
  <c r="I5" i="8" s="1"/>
  <c r="I4" i="11"/>
  <c r="I5" i="11" s="1"/>
  <c r="I8" i="7"/>
  <c r="I8" i="6"/>
  <c r="J7" i="6"/>
  <c r="H14" i="9"/>
  <c r="H6" i="8"/>
  <c r="K10" i="5"/>
  <c r="I12" i="4"/>
  <c r="I13" i="4" s="1"/>
  <c r="C40" i="4"/>
  <c r="C22" i="9"/>
  <c r="H7" i="8"/>
  <c r="C41" i="4"/>
  <c r="I6" i="11"/>
  <c r="I8" i="10"/>
  <c r="H10" i="7"/>
  <c r="H11" i="7" s="1"/>
  <c r="G10" i="6"/>
  <c r="C27" i="9"/>
  <c r="H12" i="11"/>
  <c r="H30" i="10"/>
  <c r="G4" i="7"/>
  <c r="G5" i="7" s="1"/>
  <c r="F8" i="9"/>
  <c r="J4" i="8"/>
  <c r="J5" i="8" s="1"/>
  <c r="J10" i="11"/>
  <c r="J11" i="11" s="1"/>
  <c r="H26" i="7"/>
  <c r="J8" i="9"/>
  <c r="J9" i="9" s="1"/>
  <c r="I12" i="7"/>
  <c r="I13" i="7" s="1"/>
  <c r="I5" i="9"/>
  <c r="K6" i="8"/>
  <c r="K7" i="8" s="1"/>
  <c r="K10" i="4"/>
  <c r="C30" i="9"/>
  <c r="H25" i="4"/>
  <c r="C35" i="11"/>
  <c r="C37" i="5"/>
  <c r="C37" i="4"/>
  <c r="H19" i="6"/>
  <c r="H22" i="11"/>
  <c r="H27" i="4"/>
  <c r="H42" i="9"/>
  <c r="H11" i="10"/>
  <c r="F9" i="6"/>
  <c r="H31" i="10"/>
  <c r="G12" i="8"/>
  <c r="G13" i="8" s="1"/>
  <c r="I5" i="5"/>
  <c r="J14" i="4"/>
  <c r="J15" i="4" s="1"/>
  <c r="H26" i="4"/>
  <c r="C31" i="9"/>
  <c r="C32" i="8"/>
  <c r="I6" i="5"/>
  <c r="I7" i="5" s="1"/>
  <c r="H30" i="5"/>
  <c r="C34" i="10"/>
  <c r="I12" i="5"/>
  <c r="C35" i="5"/>
  <c r="H22" i="10"/>
  <c r="F11" i="8"/>
  <c r="H42" i="4"/>
  <c r="H32" i="9"/>
  <c r="G9" i="10"/>
  <c r="H6" i="4"/>
  <c r="H7" i="4" s="1"/>
  <c r="H35" i="7"/>
  <c r="C21" i="4"/>
  <c r="H15" i="9"/>
  <c r="G11" i="5"/>
  <c r="I5" i="6"/>
  <c r="I13" i="11"/>
  <c r="C35" i="8"/>
  <c r="C27" i="11"/>
  <c r="I6" i="8"/>
  <c r="J10" i="4"/>
  <c r="H36" i="5"/>
  <c r="H27" i="7"/>
  <c r="C26" i="11"/>
  <c r="C30" i="4"/>
  <c r="F13" i="8"/>
  <c r="H23" i="6"/>
  <c r="K5" i="5"/>
  <c r="H31" i="7"/>
  <c r="J5" i="6"/>
  <c r="I5" i="10"/>
  <c r="I9" i="11"/>
  <c r="G12" i="5"/>
  <c r="G8" i="4"/>
  <c r="G9" i="4" s="1"/>
  <c r="H36" i="4"/>
  <c r="H22" i="9"/>
  <c r="C27" i="10"/>
  <c r="G4" i="5"/>
  <c r="H40" i="9"/>
  <c r="H14" i="8"/>
  <c r="H15" i="8" s="1"/>
  <c r="K6" i="4"/>
  <c r="H34" i="10"/>
  <c r="H35" i="4"/>
  <c r="K5" i="9"/>
  <c r="H35" i="11"/>
  <c r="H31" i="6"/>
  <c r="G5" i="11"/>
  <c r="J7" i="5"/>
  <c r="G11" i="10"/>
  <c r="K11" i="5"/>
  <c r="C26" i="7"/>
  <c r="F11" i="5"/>
  <c r="J5" i="11"/>
  <c r="I13" i="5"/>
  <c r="J11" i="4"/>
  <c r="H5" i="7"/>
  <c r="F15" i="9"/>
  <c r="J9" i="4"/>
  <c r="C35" i="6"/>
  <c r="C35" i="9"/>
  <c r="F14" i="5"/>
  <c r="F15" i="5" s="1"/>
  <c r="J10" i="10"/>
  <c r="J11" i="10" s="1"/>
  <c r="C26" i="6"/>
  <c r="F10" i="11"/>
  <c r="F11" i="11" s="1"/>
  <c r="C26" i="10"/>
  <c r="C23" i="6"/>
  <c r="G15" i="9"/>
  <c r="I14" i="5"/>
  <c r="I15" i="5" s="1"/>
  <c r="H26" i="5"/>
  <c r="C32" i="5"/>
  <c r="C36" i="8"/>
  <c r="H6" i="5"/>
  <c r="H10" i="4"/>
  <c r="H11" i="4" s="1"/>
  <c r="H26" i="8"/>
  <c r="H23" i="10"/>
  <c r="C25" i="8"/>
  <c r="K5" i="4"/>
  <c r="I9" i="9"/>
  <c r="H15" i="5"/>
  <c r="F7" i="6"/>
  <c r="I13" i="9"/>
  <c r="F7" i="11"/>
  <c r="G9" i="6"/>
  <c r="I12" i="8"/>
  <c r="I13" i="8" s="1"/>
  <c r="H12" i="4"/>
  <c r="H13" i="4" s="1"/>
  <c r="K12" i="4"/>
  <c r="H31" i="5"/>
  <c r="C27" i="7"/>
  <c r="K10" i="8"/>
  <c r="K11" i="8" s="1"/>
  <c r="C27" i="4"/>
  <c r="H36" i="9"/>
  <c r="H27" i="11"/>
  <c r="F10" i="4"/>
  <c r="F11" i="4" s="1"/>
  <c r="H23" i="7"/>
  <c r="H41" i="4"/>
  <c r="G11" i="6"/>
  <c r="F7" i="7"/>
  <c r="I9" i="6"/>
  <c r="J10" i="5"/>
  <c r="J11" i="5" s="1"/>
  <c r="C26" i="4"/>
  <c r="C19" i="11"/>
  <c r="J9" i="5"/>
  <c r="J7" i="11"/>
  <c r="I9" i="7"/>
  <c r="J11" i="7"/>
  <c r="C41" i="9"/>
  <c r="H19" i="7"/>
  <c r="F14" i="8"/>
  <c r="F15" i="8" s="1"/>
  <c r="C31" i="5"/>
  <c r="I14" i="4"/>
  <c r="C30" i="8"/>
  <c r="H18" i="11"/>
  <c r="C20" i="8"/>
  <c r="I7" i="8"/>
  <c r="J5" i="7"/>
  <c r="G5" i="8"/>
  <c r="K11" i="9"/>
  <c r="F13" i="9"/>
  <c r="I9" i="10"/>
  <c r="G5" i="9"/>
  <c r="F9" i="8"/>
  <c r="I8" i="5"/>
  <c r="I9" i="5" s="1"/>
  <c r="H5" i="4"/>
  <c r="H35" i="5"/>
  <c r="H27" i="6"/>
  <c r="H11" i="8"/>
  <c r="F6" i="4"/>
  <c r="C27" i="5"/>
  <c r="H26" i="10"/>
  <c r="H7" i="5"/>
  <c r="H21" i="8"/>
  <c r="H20" i="8"/>
  <c r="H11" i="11"/>
  <c r="F9" i="10"/>
  <c r="H22" i="4"/>
  <c r="G11" i="8"/>
  <c r="G5" i="6"/>
  <c r="H25" i="9"/>
  <c r="G5" i="10"/>
  <c r="H7" i="10"/>
  <c r="H32" i="5"/>
  <c r="K11" i="4"/>
  <c r="F13" i="10"/>
  <c r="C26" i="8"/>
  <c r="F11" i="7"/>
  <c r="J5" i="9"/>
  <c r="F7" i="9"/>
  <c r="H37" i="9"/>
  <c r="K7" i="4"/>
  <c r="H13" i="9"/>
  <c r="F15" i="4"/>
  <c r="I5" i="4"/>
  <c r="J7" i="8"/>
  <c r="F9" i="5"/>
  <c r="G9" i="5"/>
  <c r="G13" i="5"/>
  <c r="K13" i="4"/>
  <c r="H5" i="8"/>
  <c r="J11" i="9"/>
  <c r="I7" i="7"/>
  <c r="G13" i="4"/>
  <c r="K5" i="8"/>
  <c r="G5" i="4"/>
  <c r="J11" i="8"/>
  <c r="G5" i="5"/>
  <c r="F13" i="4"/>
  <c r="F13" i="5"/>
  <c r="F11" i="6"/>
  <c r="H5" i="11"/>
  <c r="L11" i="6" l="1"/>
  <c r="K10" i="6"/>
  <c r="L12" i="4"/>
  <c r="M13" i="4"/>
  <c r="M5" i="5"/>
  <c r="L4" i="5"/>
  <c r="M5" i="4"/>
  <c r="L4" i="4"/>
  <c r="M9" i="5"/>
  <c r="L8" i="5"/>
  <c r="K10" i="7"/>
  <c r="L11" i="7"/>
  <c r="K12" i="10"/>
  <c r="L13" i="10"/>
  <c r="L5" i="10"/>
  <c r="K4" i="10"/>
  <c r="K4" i="6"/>
  <c r="L5" i="6"/>
  <c r="L12" i="9"/>
  <c r="M13" i="9"/>
  <c r="L4" i="8"/>
  <c r="M5" i="8"/>
  <c r="M15" i="8"/>
  <c r="L14" i="8"/>
  <c r="K6" i="7"/>
  <c r="L7" i="7"/>
  <c r="M11" i="4"/>
  <c r="L10" i="4"/>
  <c r="K6" i="6"/>
  <c r="L7" i="6"/>
  <c r="K10" i="11"/>
  <c r="L11" i="11"/>
  <c r="M15" i="5"/>
  <c r="L14" i="5"/>
  <c r="M15" i="9"/>
  <c r="L14" i="9"/>
  <c r="M11" i="5"/>
  <c r="L10" i="5"/>
  <c r="L5" i="11"/>
  <c r="K4" i="11"/>
  <c r="M13" i="8"/>
  <c r="L12" i="8"/>
  <c r="M11" i="8"/>
  <c r="L10" i="8"/>
  <c r="K8" i="6"/>
  <c r="L9" i="6"/>
  <c r="L9" i="11"/>
  <c r="K8" i="11"/>
  <c r="K12" i="6"/>
  <c r="L13" i="6"/>
  <c r="L6" i="5"/>
  <c r="M7" i="5"/>
  <c r="M11" i="9"/>
  <c r="L10" i="9"/>
  <c r="L8" i="4"/>
  <c r="M9" i="4"/>
  <c r="M7" i="8"/>
  <c r="L6" i="8"/>
  <c r="L11" i="10"/>
  <c r="K10" i="10"/>
  <c r="F7" i="4"/>
  <c r="F9" i="9"/>
  <c r="I7" i="11"/>
  <c r="H7" i="9"/>
  <c r="H5" i="9"/>
  <c r="I5" i="7"/>
  <c r="H13" i="5"/>
  <c r="J9" i="10"/>
  <c r="G13" i="7"/>
  <c r="I15" i="4"/>
  <c r="H13" i="11"/>
  <c r="K13" i="5"/>
  <c r="J9" i="7"/>
  <c r="I7" i="10"/>
  <c r="K9" i="8"/>
  <c r="L8" i="8" l="1"/>
  <c r="M9" i="8"/>
  <c r="L7" i="10"/>
  <c r="K6" i="10"/>
  <c r="K8" i="7"/>
  <c r="L9" i="7"/>
  <c r="L13" i="11"/>
  <c r="K12" i="11"/>
  <c r="L14" i="4"/>
  <c r="M15" i="4"/>
  <c r="L13" i="7"/>
  <c r="K12" i="7"/>
  <c r="L9" i="10"/>
  <c r="K8" i="10"/>
  <c r="M13" i="5"/>
  <c r="L12" i="5"/>
  <c r="K4" i="7"/>
  <c r="L5" i="7"/>
  <c r="L4" i="9"/>
  <c r="M5" i="9"/>
  <c r="M7" i="9"/>
  <c r="L6" i="9"/>
  <c r="K6" i="11"/>
  <c r="L7" i="11"/>
  <c r="L8" i="9"/>
  <c r="M9" i="9"/>
  <c r="M7" i="4"/>
  <c r="L6" i="4"/>
</calcChain>
</file>

<file path=xl/connections.xml><?xml version="1.0" encoding="utf-8"?>
<connections xmlns="http://schemas.openxmlformats.org/spreadsheetml/2006/main">
  <connection id="1" name="swiss-res" type="6" refreshedVersion="6" background="1" saveData="1">
    <textPr codePage="1251" sourceFile="P:\swiss-res.txt" thousands=" 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<sst xmlns="http://schemas.openxmlformats.org/spreadsheetml/2006/main" count="798" uniqueCount="310">
  <si>
    <t>1. Артюхина, утро</t>
  </si>
  <si>
    <t>2. Тихонов, утро</t>
  </si>
  <si>
    <t>3. Денисов</t>
  </si>
  <si>
    <t>4. Петрушко Ю. утро</t>
  </si>
  <si>
    <t>5. Петрушко А. утро</t>
  </si>
  <si>
    <t>6. Ли, лучше утро</t>
  </si>
  <si>
    <t>7. Головко Т.</t>
  </si>
  <si>
    <t>8. Буштрук</t>
  </si>
  <si>
    <t>9. Мурашова</t>
  </si>
  <si>
    <t>10 Бейгер, утро</t>
  </si>
  <si>
    <t>11 Воронов</t>
  </si>
  <si>
    <t>12 Зубова</t>
  </si>
  <si>
    <t>13 Воробьева, утро</t>
  </si>
  <si>
    <t>14 Трушина, вечер</t>
  </si>
  <si>
    <r>
      <t>1</t>
    </r>
    <r>
      <rPr>
        <b/>
        <sz val="8"/>
        <color rgb="FF4C4C4C"/>
        <rFont val="Trebuchet MS"/>
        <family val="2"/>
        <charset val="204"/>
      </rPr>
      <t>5 Бирюкова вечер</t>
    </r>
  </si>
  <si>
    <t>16 Лукьянова, утро</t>
  </si>
  <si>
    <t>17 Шундрин М. утро</t>
  </si>
  <si>
    <t>18 Франк, утро</t>
  </si>
  <si>
    <t>19 Земцов</t>
  </si>
  <si>
    <t>20 Догадин, вечер</t>
  </si>
  <si>
    <t>21 Хафизова, утро</t>
  </si>
  <si>
    <t>22 Кайтукова вечер</t>
  </si>
  <si>
    <t>23 Костяная (лучше утро)</t>
  </si>
  <si>
    <t>24 Поляков Леша утро</t>
  </si>
  <si>
    <t>25 Полякова утро</t>
  </si>
  <si>
    <t>26 Федотовский, вечер</t>
  </si>
  <si>
    <t>27 Арриета, Утро</t>
  </si>
  <si>
    <t>28 Гаджиев</t>
  </si>
  <si>
    <t>29 Волкова, утро</t>
  </si>
  <si>
    <t>30 Волчек вечер</t>
  </si>
  <si>
    <t>31 Петраков - утро</t>
  </si>
  <si>
    <t>32 Каргашин - вечер</t>
  </si>
  <si>
    <t>33 Горбулинская - вечер</t>
  </si>
  <si>
    <t>34 Жака - вечер</t>
  </si>
  <si>
    <t>35 Хафидо</t>
  </si>
  <si>
    <t>36 Царегородцев. Вечер</t>
  </si>
  <si>
    <t>37 Папоян, вечер</t>
  </si>
  <si>
    <t>38 Шапкин, утро</t>
  </si>
  <si>
    <t>39 Волков В., утро</t>
  </si>
  <si>
    <t>40 Гулинин, лучше утро</t>
  </si>
  <si>
    <t>41 Смирнова утро</t>
  </si>
  <si>
    <t>42 Кузнецова Е., утро</t>
  </si>
  <si>
    <t>43 Тихомирова, утро</t>
  </si>
  <si>
    <t>44 Базарев (вечер)</t>
  </si>
  <si>
    <t>Артюхина</t>
  </si>
  <si>
    <t>Тихонов</t>
  </si>
  <si>
    <t>Денисов</t>
  </si>
  <si>
    <t>Ли</t>
  </si>
  <si>
    <t>Головко</t>
  </si>
  <si>
    <t>Буштрук</t>
  </si>
  <si>
    <t>Мурашова</t>
  </si>
  <si>
    <t>Бейгер</t>
  </si>
  <si>
    <t>Воронов</t>
  </si>
  <si>
    <t>Зубова</t>
  </si>
  <si>
    <t>Воробьева</t>
  </si>
  <si>
    <t>Трушина</t>
  </si>
  <si>
    <t>Бирюкова</t>
  </si>
  <si>
    <t>Лукьянова</t>
  </si>
  <si>
    <t>Франк</t>
  </si>
  <si>
    <t>Земцов</t>
  </si>
  <si>
    <t>Догадин</t>
  </si>
  <si>
    <t>Хафизова</t>
  </si>
  <si>
    <t>Кайтукова</t>
  </si>
  <si>
    <t>Костяная</t>
  </si>
  <si>
    <t>Полякова</t>
  </si>
  <si>
    <t>Федотовский</t>
  </si>
  <si>
    <t>утро</t>
  </si>
  <si>
    <t>вечер</t>
  </si>
  <si>
    <t>Женский индивидуальный рейтинг (по состоянию на 25 ноября 2023 г.)</t>
  </si>
  <si>
    <t>Игрок</t>
  </si>
  <si>
    <t>Рейтинг</t>
  </si>
  <si>
    <t>Курбанова Маргарита</t>
  </si>
  <si>
    <t>Артюхина Елена</t>
  </si>
  <si>
    <t>Крошилова Ирина</t>
  </si>
  <si>
    <t>Павлова Ирина</t>
  </si>
  <si>
    <t>Чекмарева Татьяна</t>
  </si>
  <si>
    <t>Хафизова Индира</t>
  </si>
  <si>
    <t>Зубова Наталья</t>
  </si>
  <si>
    <t>Лукьянова Ирина</t>
  </si>
  <si>
    <t>Петрушко Юлия</t>
  </si>
  <si>
    <t>Савченко Елена</t>
  </si>
  <si>
    <t>Алкина Светлана</t>
  </si>
  <si>
    <t>Мурашова Лена</t>
  </si>
  <si>
    <t>Полякова Оксана</t>
  </si>
  <si>
    <t>Мирошниченко Вера</t>
  </si>
  <si>
    <t>Комарова Елена</t>
  </si>
  <si>
    <t>Коппа Нина</t>
  </si>
  <si>
    <t>Бирюкова Наталья</t>
  </si>
  <si>
    <t>Пименова Татьяна</t>
  </si>
  <si>
    <t>Дубовицкая Ольга</t>
  </si>
  <si>
    <t>Бублик Татьяна</t>
  </si>
  <si>
    <t>Скляр Светлана</t>
  </si>
  <si>
    <t>Сафонова Светлана</t>
  </si>
  <si>
    <t>Кирменская Елена</t>
  </si>
  <si>
    <t>Березнеговская Светлана</t>
  </si>
  <si>
    <t>Баринова Светлана</t>
  </si>
  <si>
    <t>Гурина Юлия</t>
  </si>
  <si>
    <t>Трофимова Катерина</t>
  </si>
  <si>
    <t>Воробьева Лиза</t>
  </si>
  <si>
    <t>Трушина Надежда</t>
  </si>
  <si>
    <t>Крылова Светлана</t>
  </si>
  <si>
    <t>Ткаченко Анна</t>
  </si>
  <si>
    <t>Казанцева Татьяна</t>
  </si>
  <si>
    <t>Кирдеева Надежда</t>
  </si>
  <si>
    <t>Кузнецова Елена</t>
  </si>
  <si>
    <t>Соколова Ольга</t>
  </si>
  <si>
    <t>Коргунова Мария</t>
  </si>
  <si>
    <t>Багаутдинова Гульназ</t>
  </si>
  <si>
    <t>Пелевина Наталия</t>
  </si>
  <si>
    <t>Довженко Светлана</t>
  </si>
  <si>
    <t>Волчек Мария</t>
  </si>
  <si>
    <t>Андриамахаринжака</t>
  </si>
  <si>
    <t>Лухиши Хафидо</t>
  </si>
  <si>
    <t>Гулинин Евгений</t>
  </si>
  <si>
    <t>Крошилов Александр</t>
  </si>
  <si>
    <t>Михеенко Алексей</t>
  </si>
  <si>
    <t>Гоцфрид Константин</t>
  </si>
  <si>
    <t>Филатов Андрей</t>
  </si>
  <si>
    <t>Африканов Андрей</t>
  </si>
  <si>
    <t>Догадин Евгений</t>
  </si>
  <si>
    <t>Трутнев Евгений</t>
  </si>
  <si>
    <t>Осокин Евгений</t>
  </si>
  <si>
    <t>Лямунов Никита</t>
  </si>
  <si>
    <t>Федотов Николай</t>
  </si>
  <si>
    <t>Каргашин Илья</t>
  </si>
  <si>
    <t>Тихонов Дмитрий</t>
  </si>
  <si>
    <t>Лютиков Александр</t>
  </si>
  <si>
    <t>Банщиков Андрей</t>
  </si>
  <si>
    <t>Денисов Евгений</t>
  </si>
  <si>
    <t>Ли Александр</t>
  </si>
  <si>
    <t>Агапов Александр</t>
  </si>
  <si>
    <t>Федотовский Олег</t>
  </si>
  <si>
    <t>Вахрушев Владимир</t>
  </si>
  <si>
    <t>Шундрин Алексей</t>
  </si>
  <si>
    <t>Шундрин Михаил</t>
  </si>
  <si>
    <t>Гришков Сергей</t>
  </si>
  <si>
    <t>Петрушко Алексей</t>
  </si>
  <si>
    <t>Дубовицкий Игорь</t>
  </si>
  <si>
    <t>Мишин Дмитрий</t>
  </si>
  <si>
    <t>Поляков Алексей</t>
  </si>
  <si>
    <t>Воронов Олег</t>
  </si>
  <si>
    <t>Гаджиев Сеявуш</t>
  </si>
  <si>
    <t>Комаров Александр</t>
  </si>
  <si>
    <t>Земцов Сергей</t>
  </si>
  <si>
    <t>Силаев Дмитрий</t>
  </si>
  <si>
    <t>Кравцов Владимир</t>
  </si>
  <si>
    <t>Пелевин Андрей</t>
  </si>
  <si>
    <t>Стрельчук Артем</t>
  </si>
  <si>
    <t>Рядовиков Алексей</t>
  </si>
  <si>
    <t>Давыдов Андрей</t>
  </si>
  <si>
    <t>Иванов Юрий</t>
  </si>
  <si>
    <t>Бейгер Максим</t>
  </si>
  <si>
    <t>Трофимов Александр</t>
  </si>
  <si>
    <t>Новиков Андрей</t>
  </si>
  <si>
    <t>Энжольрас Жером</t>
  </si>
  <si>
    <t>Колесников Андрей</t>
  </si>
  <si>
    <t>Смирнов Виктор</t>
  </si>
  <si>
    <t>Капов Иван</t>
  </si>
  <si>
    <t>Северов Михаил</t>
  </si>
  <si>
    <t>Зуе Мустайд</t>
  </si>
  <si>
    <t>Попов Виктор</t>
  </si>
  <si>
    <t>Шапкин Константин</t>
  </si>
  <si>
    <t>Царегородцев Александр</t>
  </si>
  <si>
    <t>Сутырин Виктор</t>
  </si>
  <si>
    <t>Ткаченко Алексей</t>
  </si>
  <si>
    <t>Кувакин Валерий</t>
  </si>
  <si>
    <t>Ницинский Станислав</t>
  </si>
  <si>
    <t>Багазеев Иван</t>
  </si>
  <si>
    <t>Зимин Михаил</t>
  </si>
  <si>
    <t>Борисов Александр</t>
  </si>
  <si>
    <t>Колпаков Петр</t>
  </si>
  <si>
    <t>Красноперов Игорь</t>
  </si>
  <si>
    <t>Петрушко Юля</t>
  </si>
  <si>
    <t>жен</t>
  </si>
  <si>
    <t>муж</t>
  </si>
  <si>
    <t>Гаджиев</t>
  </si>
  <si>
    <t>Волкова</t>
  </si>
  <si>
    <t>Волчек</t>
  </si>
  <si>
    <t>Петраков</t>
  </si>
  <si>
    <t>Каргашин</t>
  </si>
  <si>
    <t>Горбулинская</t>
  </si>
  <si>
    <t>Хафидо</t>
  </si>
  <si>
    <t>Ариетта</t>
  </si>
  <si>
    <t>Царегородцев</t>
  </si>
  <si>
    <t>Папоян</t>
  </si>
  <si>
    <t>Шапкин</t>
  </si>
  <si>
    <t>Гулинин</t>
  </si>
  <si>
    <t>Смирнова</t>
  </si>
  <si>
    <t>Волков Валерий</t>
  </si>
  <si>
    <t>Тихомирова</t>
  </si>
  <si>
    <t>Базарев</t>
  </si>
  <si>
    <t>Команда</t>
  </si>
  <si>
    <t>победы</t>
  </si>
  <si>
    <t>доп</t>
  </si>
  <si>
    <t>место</t>
  </si>
  <si>
    <t/>
  </si>
  <si>
    <t>Тур 1</t>
  </si>
  <si>
    <t>дор.</t>
  </si>
  <si>
    <t>Тур 2</t>
  </si>
  <si>
    <t>Тур 3</t>
  </si>
  <si>
    <t>Тур 4</t>
  </si>
  <si>
    <t>Тур 5</t>
  </si>
  <si>
    <t>Группа А</t>
  </si>
  <si>
    <t>Группа В</t>
  </si>
  <si>
    <t>Группа С</t>
  </si>
  <si>
    <t>Группа D</t>
  </si>
  <si>
    <t>Группа G</t>
  </si>
  <si>
    <t>Группа H</t>
  </si>
  <si>
    <t>Группа E</t>
  </si>
  <si>
    <t>Группа F</t>
  </si>
  <si>
    <t>Кузнецова</t>
  </si>
  <si>
    <t>Поляков</t>
  </si>
  <si>
    <t>Волков</t>
  </si>
  <si>
    <t>Шундрин</t>
  </si>
  <si>
    <t>Петрушко Ал.</t>
  </si>
  <si>
    <t>Петрушко Ю.</t>
  </si>
  <si>
    <t>Жака</t>
  </si>
  <si>
    <t>50.0-33.0</t>
  </si>
  <si>
    <t>45.0-38.0</t>
  </si>
  <si>
    <t>44.0-32.0</t>
  </si>
  <si>
    <t>50.0-35.0</t>
  </si>
  <si>
    <t>50.0-39.0</t>
  </si>
  <si>
    <t>45.0-33.0</t>
  </si>
  <si>
    <t>45.0-26.0</t>
  </si>
  <si>
    <t>45.0-47.0</t>
  </si>
  <si>
    <t>38.0-34.0</t>
  </si>
  <si>
    <t>Базарев Дмитри</t>
  </si>
  <si>
    <t>45.0-42.0</t>
  </si>
  <si>
    <t>35.0-39.0</t>
  </si>
  <si>
    <t>40.0-31.0</t>
  </si>
  <si>
    <t>33.0-37.0</t>
  </si>
  <si>
    <t>33.0-42.0</t>
  </si>
  <si>
    <t>26.0-41.0</t>
  </si>
  <si>
    <t>32.0-40.0</t>
  </si>
  <si>
    <t>Волкова Инна</t>
  </si>
  <si>
    <t>28.0-47.0</t>
  </si>
  <si>
    <t>25.0-46.0</t>
  </si>
  <si>
    <t>Мурашова Елена</t>
  </si>
  <si>
    <t>38.0-45.0</t>
  </si>
  <si>
    <t>32.0-52.0</t>
  </si>
  <si>
    <t>Финал турнира 4 шара</t>
  </si>
  <si>
    <t>Москва</t>
  </si>
  <si>
    <t>3 деабря 2023г</t>
  </si>
  <si>
    <t xml:space="preserve">Ли Александр,           </t>
  </si>
  <si>
    <t xml:space="preserve"> (3.0-13.0)</t>
  </si>
  <si>
    <t xml:space="preserve">Петрушко Юлия,    </t>
  </si>
  <si>
    <t xml:space="preserve">Базарев Дмитри,         </t>
  </si>
  <si>
    <t xml:space="preserve">(13.0-8.0) </t>
  </si>
  <si>
    <t xml:space="preserve">Денисов Евгений,  </t>
  </si>
  <si>
    <t xml:space="preserve">Шундрин Михаил,         </t>
  </si>
  <si>
    <t xml:space="preserve">(11.0-6.0) </t>
  </si>
  <si>
    <t xml:space="preserve">Волкова Инна,     </t>
  </si>
  <si>
    <t xml:space="preserve">Хафидо,                 </t>
  </si>
  <si>
    <t xml:space="preserve">(13.0-6.0) </t>
  </si>
  <si>
    <t xml:space="preserve">Петрушко Алексей, </t>
  </si>
  <si>
    <t xml:space="preserve">Царегородцев Александр, </t>
  </si>
  <si>
    <t xml:space="preserve">(13.0-3.0) </t>
  </si>
  <si>
    <t xml:space="preserve">Поляков Алексей,  </t>
  </si>
  <si>
    <t xml:space="preserve">Федотовский Олег,       </t>
  </si>
  <si>
    <t xml:space="preserve"> (7.0-13.0)</t>
  </si>
  <si>
    <t xml:space="preserve">Гулинин Евгений,  </t>
  </si>
  <si>
    <t xml:space="preserve">Мурашова Елена,         </t>
  </si>
  <si>
    <t>(12.0-13.0)</t>
  </si>
  <si>
    <t xml:space="preserve">Зубова Наталья,   </t>
  </si>
  <si>
    <t xml:space="preserve">Воронов Олег,           </t>
  </si>
  <si>
    <t>(11.0-13.0)</t>
  </si>
  <si>
    <t xml:space="preserve">Догадин Евгений,  </t>
  </si>
  <si>
    <t xml:space="preserve">Полякова Оксана,        </t>
  </si>
  <si>
    <t xml:space="preserve"> (5.0-13.0)</t>
  </si>
  <si>
    <t xml:space="preserve">Каргашин Илья,    </t>
  </si>
  <si>
    <t xml:space="preserve">Жака,                   </t>
  </si>
  <si>
    <t xml:space="preserve">(13.0-9.0) </t>
  </si>
  <si>
    <t xml:space="preserve">Артюхина Елена,   </t>
  </si>
  <si>
    <t>(13.0-11.0)</t>
  </si>
  <si>
    <t xml:space="preserve">Жака,             </t>
  </si>
  <si>
    <t xml:space="preserve">Денисов Евгений,        </t>
  </si>
  <si>
    <t xml:space="preserve">(13.0-4.0) </t>
  </si>
  <si>
    <t xml:space="preserve">(13.0-7.0) </t>
  </si>
  <si>
    <t>(12.0-11.0)</t>
  </si>
  <si>
    <t xml:space="preserve">Петрушко Юлия,          </t>
  </si>
  <si>
    <t xml:space="preserve">Базарев Дмитри,   </t>
  </si>
  <si>
    <t>(10.0-13.0)</t>
  </si>
  <si>
    <t xml:space="preserve">Догадин Евгений,        </t>
  </si>
  <si>
    <t xml:space="preserve">Федотовский Олег, </t>
  </si>
  <si>
    <t>(13.0-10.0)</t>
  </si>
  <si>
    <t xml:space="preserve"> (6.0-13.0)</t>
  </si>
  <si>
    <t xml:space="preserve">Хафидо,           </t>
  </si>
  <si>
    <t xml:space="preserve">Гулинин Евгений,        </t>
  </si>
  <si>
    <t xml:space="preserve"> (7.0-12.0)</t>
  </si>
  <si>
    <t xml:space="preserve"> (9.0-13.0)</t>
  </si>
  <si>
    <t xml:space="preserve"> (2.0-13.0)</t>
  </si>
  <si>
    <t xml:space="preserve">Артюхина Елена,         </t>
  </si>
  <si>
    <t xml:space="preserve">(13.0-1.0) </t>
  </si>
  <si>
    <t xml:space="preserve">Ли Александр,     </t>
  </si>
  <si>
    <t xml:space="preserve">Петрушко Алексей,       </t>
  </si>
  <si>
    <t xml:space="preserve">(13.0-5.0) </t>
  </si>
  <si>
    <t xml:space="preserve">Воронов Олег,     </t>
  </si>
  <si>
    <t xml:space="preserve"> (8.0-13.0)</t>
  </si>
  <si>
    <t xml:space="preserve"> (0.0-13.0)</t>
  </si>
  <si>
    <t xml:space="preserve">Мурашова Елена,   </t>
  </si>
  <si>
    <t>Место</t>
  </si>
  <si>
    <t>Победы</t>
  </si>
  <si>
    <t>Прогресс</t>
  </si>
  <si>
    <t>Бухгольц</t>
  </si>
  <si>
    <t>Разница</t>
  </si>
  <si>
    <t>Положение после швейцарки</t>
  </si>
  <si>
    <t>пара</t>
  </si>
  <si>
    <t>Игрок 1</t>
  </si>
  <si>
    <t>Счет</t>
  </si>
  <si>
    <t>Игрок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</si>
</sst>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;0"/>
    <numFmt numFmtId="165" formatCode="\+##;\-##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4C4C4C"/>
      <name val="Trebuchet MS"/>
      <family val="2"/>
      <charset val="204"/>
    </font>
    <font>
      <sz val="8"/>
      <color rgb="FF4C4C4C"/>
      <name val="Trebuchet MS"/>
      <family val="2"/>
      <charset val="204"/>
    </font>
    <font>
      <b/>
      <sz val="18"/>
      <color rgb="FF0000FF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24"/>
      <color indexed="8"/>
      <name val="Calibri Light"/>
      <family val="1"/>
      <charset val="204"/>
      <scheme val="maj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5" fontId="8" fillId="3" borderId="2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5" fontId="8" fillId="3" borderId="3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 indent="1"/>
    </xf>
    <xf numFmtId="0" fontId="7" fillId="2" borderId="19" xfId="0" applyFont="1" applyFill="1" applyBorder="1" applyAlignment="1">
      <alignment horizontal="left" vertical="center" wrapText="1" indent="1"/>
    </xf>
    <xf numFmtId="0" fontId="7" fillId="2" borderId="20" xfId="0" applyFont="1" applyFill="1" applyBorder="1" applyAlignment="1">
      <alignment horizontal="left" vertical="center" wrapText="1" indent="1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1" xfId="0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horizontal="left" vertical="center" wrapText="1" indent="1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7" fillId="2" borderId="30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42" xfId="0" applyBorder="1" applyAlignment="1">
      <alignment vertical="center"/>
    </xf>
    <xf numFmtId="0" fontId="11" fillId="0" borderId="43" xfId="0" applyFont="1" applyBorder="1" applyAlignment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/>
    <xf numFmtId="0" fontId="11" fillId="2" borderId="43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wiss-r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workbookViewId="0">
      <selection activeCell="A17" sqref="A17"/>
    </sheetView>
  </sheetViews>
  <sheetFormatPr defaultRowHeight="15" x14ac:dyDescent="0.25"/>
  <cols>
    <col min="1" max="1" width="9.140625" style="5"/>
    <col min="2" max="2" width="22" customWidth="1"/>
    <col min="3" max="5" width="9.140625" style="5"/>
    <col min="9" max="9" width="38.42578125" customWidth="1"/>
  </cols>
  <sheetData>
    <row r="2" spans="1:9" ht="15.75" x14ac:dyDescent="0.3">
      <c r="A2" s="6">
        <v>1</v>
      </c>
      <c r="B2" s="7" t="s">
        <v>44</v>
      </c>
      <c r="C2" s="6" t="s">
        <v>66</v>
      </c>
      <c r="D2" s="6">
        <v>135</v>
      </c>
      <c r="E2" s="6" t="s">
        <v>173</v>
      </c>
      <c r="I2" s="1" t="s">
        <v>0</v>
      </c>
    </row>
    <row r="3" spans="1:9" ht="15.75" x14ac:dyDescent="0.3">
      <c r="A3" s="6">
        <v>2</v>
      </c>
      <c r="B3" s="7" t="s">
        <v>57</v>
      </c>
      <c r="C3" s="6" t="s">
        <v>66</v>
      </c>
      <c r="D3" s="6">
        <v>112</v>
      </c>
      <c r="E3" s="6" t="s">
        <v>173</v>
      </c>
      <c r="I3" s="1" t="s">
        <v>15</v>
      </c>
    </row>
    <row r="4" spans="1:9" ht="15.75" x14ac:dyDescent="0.3">
      <c r="A4" s="6">
        <v>3</v>
      </c>
      <c r="B4" s="7" t="s">
        <v>172</v>
      </c>
      <c r="C4" s="6" t="s">
        <v>66</v>
      </c>
      <c r="D4" s="6">
        <v>110</v>
      </c>
      <c r="E4" s="6" t="s">
        <v>173</v>
      </c>
      <c r="I4" s="1" t="s">
        <v>3</v>
      </c>
    </row>
    <row r="5" spans="1:9" ht="15.75" x14ac:dyDescent="0.3">
      <c r="A5" s="6">
        <v>4</v>
      </c>
      <c r="B5" s="7" t="s">
        <v>64</v>
      </c>
      <c r="C5" s="6" t="s">
        <v>66</v>
      </c>
      <c r="D5" s="6">
        <v>94</v>
      </c>
      <c r="E5" s="6" t="s">
        <v>173</v>
      </c>
      <c r="I5" s="1" t="s">
        <v>24</v>
      </c>
    </row>
    <row r="6" spans="1:9" ht="15.75" x14ac:dyDescent="0.3">
      <c r="A6" s="5">
        <v>5</v>
      </c>
      <c r="B6" t="s">
        <v>54</v>
      </c>
      <c r="C6" s="5" t="s">
        <v>66</v>
      </c>
      <c r="D6" s="5">
        <v>47</v>
      </c>
      <c r="E6" s="5" t="s">
        <v>173</v>
      </c>
      <c r="I6" s="1" t="s">
        <v>12</v>
      </c>
    </row>
    <row r="7" spans="1:9" ht="15.75" x14ac:dyDescent="0.3">
      <c r="A7" s="5">
        <v>6</v>
      </c>
      <c r="B7" t="s">
        <v>104</v>
      </c>
      <c r="C7" s="5" t="s">
        <v>66</v>
      </c>
      <c r="D7" s="5">
        <v>20</v>
      </c>
      <c r="E7" s="5" t="s">
        <v>173</v>
      </c>
      <c r="I7" s="1" t="s">
        <v>41</v>
      </c>
    </row>
    <row r="8" spans="1:9" ht="15.75" x14ac:dyDescent="0.3">
      <c r="A8" s="5">
        <v>7</v>
      </c>
      <c r="B8" t="s">
        <v>63</v>
      </c>
      <c r="C8" s="5" t="s">
        <v>66</v>
      </c>
      <c r="E8" s="5" t="s">
        <v>173</v>
      </c>
      <c r="I8" s="1" t="s">
        <v>22</v>
      </c>
    </row>
    <row r="9" spans="1:9" ht="15.75" x14ac:dyDescent="0.3">
      <c r="A9" s="5">
        <v>8</v>
      </c>
      <c r="B9" t="s">
        <v>176</v>
      </c>
      <c r="C9" s="5" t="s">
        <v>66</v>
      </c>
      <c r="E9" s="5" t="s">
        <v>173</v>
      </c>
      <c r="I9" s="1" t="s">
        <v>28</v>
      </c>
    </row>
    <row r="10" spans="1:9" ht="15.75" x14ac:dyDescent="0.3">
      <c r="A10" s="5">
        <v>9</v>
      </c>
      <c r="B10" t="s">
        <v>187</v>
      </c>
      <c r="C10" s="5" t="s">
        <v>66</v>
      </c>
      <c r="E10" s="5" t="s">
        <v>173</v>
      </c>
      <c r="I10" s="1" t="s">
        <v>40</v>
      </c>
    </row>
    <row r="11" spans="1:9" ht="15.75" x14ac:dyDescent="0.3">
      <c r="A11" s="5">
        <v>10</v>
      </c>
      <c r="B11" t="s">
        <v>189</v>
      </c>
      <c r="C11" s="5" t="s">
        <v>66</v>
      </c>
      <c r="E11" s="5" t="s">
        <v>173</v>
      </c>
      <c r="I11" s="1" t="s">
        <v>42</v>
      </c>
    </row>
    <row r="12" spans="1:9" ht="15.75" x14ac:dyDescent="0.3">
      <c r="A12" s="6">
        <v>11</v>
      </c>
      <c r="B12" s="7" t="s">
        <v>186</v>
      </c>
      <c r="C12" s="6" t="s">
        <v>66</v>
      </c>
      <c r="D12" s="6">
        <v>129</v>
      </c>
      <c r="E12" s="6" t="s">
        <v>174</v>
      </c>
      <c r="I12" s="1" t="s">
        <v>39</v>
      </c>
    </row>
    <row r="13" spans="1:9" ht="15.75" x14ac:dyDescent="0.3">
      <c r="A13" s="6">
        <v>12</v>
      </c>
      <c r="B13" s="7" t="s">
        <v>45</v>
      </c>
      <c r="C13" s="6" t="s">
        <v>66</v>
      </c>
      <c r="D13" s="6">
        <v>108</v>
      </c>
      <c r="E13" s="6" t="s">
        <v>174</v>
      </c>
      <c r="I13" s="1" t="s">
        <v>1</v>
      </c>
    </row>
    <row r="14" spans="1:9" ht="15.75" x14ac:dyDescent="0.3">
      <c r="A14" s="6">
        <v>13</v>
      </c>
      <c r="B14" s="7" t="s">
        <v>47</v>
      </c>
      <c r="C14" s="6" t="s">
        <v>66</v>
      </c>
      <c r="D14" s="6">
        <v>98</v>
      </c>
      <c r="E14" s="6" t="s">
        <v>174</v>
      </c>
      <c r="I14" s="1" t="s">
        <v>5</v>
      </c>
    </row>
    <row r="15" spans="1:9" ht="15.75" x14ac:dyDescent="0.3">
      <c r="A15" s="6">
        <v>14</v>
      </c>
      <c r="B15" s="7" t="s">
        <v>134</v>
      </c>
      <c r="C15" s="6" t="s">
        <v>66</v>
      </c>
      <c r="D15" s="6">
        <v>94</v>
      </c>
      <c r="E15" s="6" t="s">
        <v>174</v>
      </c>
      <c r="I15" s="1" t="s">
        <v>16</v>
      </c>
    </row>
    <row r="16" spans="1:9" ht="15.75" x14ac:dyDescent="0.3">
      <c r="A16" s="6">
        <v>15</v>
      </c>
      <c r="B16" s="7" t="s">
        <v>136</v>
      </c>
      <c r="C16" s="6" t="s">
        <v>66</v>
      </c>
      <c r="D16" s="6">
        <v>93</v>
      </c>
      <c r="E16" s="6" t="s">
        <v>174</v>
      </c>
      <c r="I16" s="1" t="s">
        <v>4</v>
      </c>
    </row>
    <row r="17" spans="1:9" ht="15.75" x14ac:dyDescent="0.3">
      <c r="A17" s="6">
        <v>16</v>
      </c>
      <c r="B17" s="7" t="s">
        <v>139</v>
      </c>
      <c r="C17" s="6" t="s">
        <v>66</v>
      </c>
      <c r="D17" s="6">
        <v>87</v>
      </c>
      <c r="E17" s="6" t="s">
        <v>174</v>
      </c>
      <c r="I17" s="1" t="s">
        <v>23</v>
      </c>
    </row>
    <row r="18" spans="1:9" ht="15.75" x14ac:dyDescent="0.3">
      <c r="A18" s="6">
        <v>17</v>
      </c>
      <c r="B18" s="7" t="s">
        <v>51</v>
      </c>
      <c r="C18" s="6" t="s">
        <v>66</v>
      </c>
      <c r="D18" s="6">
        <v>52</v>
      </c>
      <c r="E18" s="6" t="s">
        <v>174</v>
      </c>
      <c r="I18" s="1" t="s">
        <v>9</v>
      </c>
    </row>
    <row r="19" spans="1:9" ht="15.75" x14ac:dyDescent="0.3">
      <c r="A19" s="6">
        <v>18</v>
      </c>
      <c r="B19" s="7" t="s">
        <v>185</v>
      </c>
      <c r="C19" s="6" t="s">
        <v>66</v>
      </c>
      <c r="D19" s="6">
        <v>26</v>
      </c>
      <c r="E19" s="6" t="s">
        <v>174</v>
      </c>
      <c r="I19" s="1" t="s">
        <v>37</v>
      </c>
    </row>
    <row r="20" spans="1:9" ht="15.75" x14ac:dyDescent="0.3">
      <c r="A20" s="5">
        <v>19</v>
      </c>
      <c r="B20" t="s">
        <v>58</v>
      </c>
      <c r="C20" s="5" t="s">
        <v>66</v>
      </c>
      <c r="E20" s="5" t="s">
        <v>174</v>
      </c>
      <c r="I20" s="1" t="s">
        <v>17</v>
      </c>
    </row>
    <row r="21" spans="1:9" ht="15.75" x14ac:dyDescent="0.3">
      <c r="A21" s="5">
        <v>20</v>
      </c>
      <c r="B21" t="s">
        <v>182</v>
      </c>
      <c r="C21" s="5" t="s">
        <v>66</v>
      </c>
      <c r="E21" s="5" t="s">
        <v>174</v>
      </c>
      <c r="I21" s="1" t="s">
        <v>26</v>
      </c>
    </row>
    <row r="22" spans="1:9" ht="15.75" x14ac:dyDescent="0.3">
      <c r="A22" s="5">
        <v>21</v>
      </c>
      <c r="B22" t="s">
        <v>178</v>
      </c>
      <c r="C22" s="5" t="s">
        <v>66</v>
      </c>
      <c r="E22" s="5" t="s">
        <v>174</v>
      </c>
      <c r="I22" s="1" t="s">
        <v>30</v>
      </c>
    </row>
    <row r="23" spans="1:9" ht="15.75" x14ac:dyDescent="0.3">
      <c r="A23" s="5">
        <v>22</v>
      </c>
      <c r="B23" t="s">
        <v>188</v>
      </c>
      <c r="C23" s="5" t="s">
        <v>66</v>
      </c>
      <c r="E23" s="5" t="s">
        <v>174</v>
      </c>
      <c r="I23" s="1" t="s">
        <v>38</v>
      </c>
    </row>
    <row r="24" spans="1:9" ht="15.75" x14ac:dyDescent="0.3">
      <c r="I24" s="1"/>
    </row>
    <row r="25" spans="1:9" ht="15.75" x14ac:dyDescent="0.3">
      <c r="I25" s="1"/>
    </row>
    <row r="26" spans="1:9" ht="15.75" x14ac:dyDescent="0.3">
      <c r="A26" s="6">
        <v>1</v>
      </c>
      <c r="B26" s="7" t="s">
        <v>61</v>
      </c>
      <c r="C26" s="6" t="s">
        <v>67</v>
      </c>
      <c r="D26" s="6">
        <v>122</v>
      </c>
      <c r="E26" s="6" t="s">
        <v>173</v>
      </c>
      <c r="I26" s="1" t="s">
        <v>20</v>
      </c>
    </row>
    <row r="27" spans="1:9" ht="15.75" x14ac:dyDescent="0.3">
      <c r="A27" s="6">
        <v>2</v>
      </c>
      <c r="B27" s="7" t="s">
        <v>53</v>
      </c>
      <c r="C27" s="6" t="s">
        <v>67</v>
      </c>
      <c r="D27" s="6">
        <v>117</v>
      </c>
      <c r="E27" s="6" t="s">
        <v>173</v>
      </c>
      <c r="I27" s="1" t="s">
        <v>11</v>
      </c>
    </row>
    <row r="28" spans="1:9" ht="15.75" x14ac:dyDescent="0.3">
      <c r="A28" s="6">
        <v>3</v>
      </c>
      <c r="B28" s="7" t="s">
        <v>50</v>
      </c>
      <c r="C28" s="6" t="s">
        <v>67</v>
      </c>
      <c r="D28" s="6">
        <v>94</v>
      </c>
      <c r="E28" s="6" t="s">
        <v>173</v>
      </c>
      <c r="I28" s="1" t="s">
        <v>8</v>
      </c>
    </row>
    <row r="29" spans="1:9" ht="15.75" x14ac:dyDescent="0.3">
      <c r="A29" s="6">
        <v>4</v>
      </c>
      <c r="B29" s="7" t="s">
        <v>56</v>
      </c>
      <c r="C29" s="6" t="s">
        <v>67</v>
      </c>
      <c r="D29" s="6">
        <v>80</v>
      </c>
      <c r="E29" s="6" t="s">
        <v>173</v>
      </c>
      <c r="I29" s="2" t="s">
        <v>14</v>
      </c>
    </row>
    <row r="30" spans="1:9" ht="15.75" x14ac:dyDescent="0.3">
      <c r="A30" s="5">
        <v>5</v>
      </c>
      <c r="B30" t="s">
        <v>55</v>
      </c>
      <c r="C30" s="5" t="s">
        <v>67</v>
      </c>
      <c r="D30" s="5">
        <v>46</v>
      </c>
      <c r="E30" s="5" t="s">
        <v>173</v>
      </c>
      <c r="I30" s="1" t="s">
        <v>13</v>
      </c>
    </row>
    <row r="31" spans="1:9" ht="15.75" x14ac:dyDescent="0.3">
      <c r="A31" s="5">
        <v>6</v>
      </c>
      <c r="B31" t="s">
        <v>177</v>
      </c>
      <c r="C31" s="5" t="s">
        <v>67</v>
      </c>
      <c r="D31" s="5">
        <v>2</v>
      </c>
      <c r="E31" s="5" t="s">
        <v>173</v>
      </c>
      <c r="I31" s="1" t="s">
        <v>29</v>
      </c>
    </row>
    <row r="32" spans="1:9" ht="15.75" x14ac:dyDescent="0.3">
      <c r="A32" s="5">
        <v>7</v>
      </c>
      <c r="B32" t="s">
        <v>62</v>
      </c>
      <c r="C32" s="5" t="s">
        <v>67</v>
      </c>
      <c r="E32" s="5" t="s">
        <v>173</v>
      </c>
      <c r="I32" s="1" t="s">
        <v>21</v>
      </c>
    </row>
    <row r="33" spans="1:9" ht="15.75" x14ac:dyDescent="0.3">
      <c r="A33" s="5">
        <v>8</v>
      </c>
      <c r="B33" t="s">
        <v>180</v>
      </c>
      <c r="C33" s="5" t="s">
        <v>67</v>
      </c>
      <c r="E33" s="5" t="s">
        <v>173</v>
      </c>
      <c r="I33" s="1" t="s">
        <v>32</v>
      </c>
    </row>
    <row r="34" spans="1:9" ht="15.75" x14ac:dyDescent="0.3">
      <c r="A34" s="5">
        <v>9</v>
      </c>
      <c r="B34" t="s">
        <v>48</v>
      </c>
      <c r="C34" s="5" t="s">
        <v>67</v>
      </c>
      <c r="E34" s="5" t="s">
        <v>173</v>
      </c>
      <c r="I34" s="1" t="s">
        <v>6</v>
      </c>
    </row>
    <row r="35" spans="1:9" ht="15.75" x14ac:dyDescent="0.3">
      <c r="A35" s="6">
        <v>10</v>
      </c>
      <c r="B35" s="7" t="s">
        <v>111</v>
      </c>
      <c r="C35" s="6" t="s">
        <v>67</v>
      </c>
      <c r="D35" s="6">
        <v>154</v>
      </c>
      <c r="E35" s="6" t="s">
        <v>174</v>
      </c>
      <c r="I35" s="1" t="s">
        <v>33</v>
      </c>
    </row>
    <row r="36" spans="1:9" ht="15.75" x14ac:dyDescent="0.3">
      <c r="A36" s="6">
        <v>11</v>
      </c>
      <c r="B36" s="7" t="s">
        <v>181</v>
      </c>
      <c r="C36" s="6" t="s">
        <v>67</v>
      </c>
      <c r="D36" s="6">
        <v>146</v>
      </c>
      <c r="E36" s="6" t="s">
        <v>174</v>
      </c>
      <c r="I36" s="2" t="s">
        <v>34</v>
      </c>
    </row>
    <row r="37" spans="1:9" ht="15.75" x14ac:dyDescent="0.3">
      <c r="A37" s="6">
        <v>12</v>
      </c>
      <c r="B37" s="7" t="s">
        <v>60</v>
      </c>
      <c r="C37" s="6" t="s">
        <v>67</v>
      </c>
      <c r="D37" s="6">
        <v>113</v>
      </c>
      <c r="E37" s="6" t="s">
        <v>174</v>
      </c>
      <c r="I37" s="1" t="s">
        <v>19</v>
      </c>
    </row>
    <row r="38" spans="1:9" ht="15.75" x14ac:dyDescent="0.3">
      <c r="A38" s="6">
        <v>13</v>
      </c>
      <c r="B38" s="7" t="s">
        <v>179</v>
      </c>
      <c r="C38" s="6" t="s">
        <v>67</v>
      </c>
      <c r="D38" s="6">
        <v>109</v>
      </c>
      <c r="E38" s="6" t="s">
        <v>174</v>
      </c>
      <c r="I38" s="1" t="s">
        <v>31</v>
      </c>
    </row>
    <row r="39" spans="1:9" ht="15.75" x14ac:dyDescent="0.3">
      <c r="A39" s="6">
        <v>14</v>
      </c>
      <c r="B39" s="7" t="s">
        <v>46</v>
      </c>
      <c r="C39" s="6" t="s">
        <v>67</v>
      </c>
      <c r="D39" s="6">
        <v>101</v>
      </c>
      <c r="E39" s="6" t="s">
        <v>174</v>
      </c>
      <c r="I39" s="1" t="s">
        <v>2</v>
      </c>
    </row>
    <row r="40" spans="1:9" ht="15.75" x14ac:dyDescent="0.3">
      <c r="A40" s="6">
        <v>15</v>
      </c>
      <c r="B40" s="7" t="s">
        <v>65</v>
      </c>
      <c r="C40" s="6" t="s">
        <v>67</v>
      </c>
      <c r="D40" s="6">
        <v>95</v>
      </c>
      <c r="E40" s="6" t="s">
        <v>174</v>
      </c>
      <c r="I40" s="1" t="s">
        <v>25</v>
      </c>
    </row>
    <row r="41" spans="1:9" ht="15.75" x14ac:dyDescent="0.3">
      <c r="A41" s="6">
        <v>16</v>
      </c>
      <c r="B41" s="7" t="s">
        <v>52</v>
      </c>
      <c r="C41" s="6" t="s">
        <v>67</v>
      </c>
      <c r="D41" s="6">
        <v>82</v>
      </c>
      <c r="E41" s="6" t="s">
        <v>174</v>
      </c>
      <c r="I41" s="1" t="s">
        <v>10</v>
      </c>
    </row>
    <row r="42" spans="1:9" ht="15.75" x14ac:dyDescent="0.3">
      <c r="A42" s="6">
        <v>17</v>
      </c>
      <c r="B42" s="7" t="s">
        <v>175</v>
      </c>
      <c r="C42" s="6" t="s">
        <v>67</v>
      </c>
      <c r="D42" s="6">
        <v>81</v>
      </c>
      <c r="E42" s="6" t="s">
        <v>174</v>
      </c>
      <c r="I42" s="1" t="s">
        <v>27</v>
      </c>
    </row>
    <row r="43" spans="1:9" ht="15.75" x14ac:dyDescent="0.3">
      <c r="A43" s="5">
        <v>18</v>
      </c>
      <c r="B43" t="s">
        <v>59</v>
      </c>
      <c r="C43" s="5" t="s">
        <v>67</v>
      </c>
      <c r="D43" s="5">
        <v>72</v>
      </c>
      <c r="E43" s="5" t="s">
        <v>174</v>
      </c>
      <c r="I43" s="1" t="s">
        <v>18</v>
      </c>
    </row>
    <row r="44" spans="1:9" ht="15.75" x14ac:dyDescent="0.3">
      <c r="A44" s="5">
        <v>19</v>
      </c>
      <c r="B44" t="s">
        <v>183</v>
      </c>
      <c r="C44" s="5" t="s">
        <v>67</v>
      </c>
      <c r="D44" s="5">
        <v>24</v>
      </c>
      <c r="E44" s="5" t="s">
        <v>174</v>
      </c>
      <c r="I44" s="1" t="s">
        <v>35</v>
      </c>
    </row>
    <row r="45" spans="1:9" ht="15.75" x14ac:dyDescent="0.3">
      <c r="A45" s="5">
        <v>20</v>
      </c>
      <c r="B45" t="s">
        <v>184</v>
      </c>
      <c r="C45" s="5" t="s">
        <v>67</v>
      </c>
      <c r="E45" s="5" t="s">
        <v>174</v>
      </c>
      <c r="I45" s="1" t="s">
        <v>36</v>
      </c>
    </row>
    <row r="46" spans="1:9" ht="15.75" x14ac:dyDescent="0.3">
      <c r="A46" s="5">
        <v>21</v>
      </c>
      <c r="B46" t="s">
        <v>190</v>
      </c>
      <c r="C46" s="5" t="s">
        <v>67</v>
      </c>
      <c r="E46" s="5" t="s">
        <v>174</v>
      </c>
      <c r="I46" s="1" t="s">
        <v>43</v>
      </c>
    </row>
    <row r="47" spans="1:9" ht="15.75" x14ac:dyDescent="0.3">
      <c r="A47" s="5">
        <v>22</v>
      </c>
      <c r="B47" t="s">
        <v>49</v>
      </c>
      <c r="C47" s="5" t="s">
        <v>67</v>
      </c>
      <c r="E47" s="5" t="s">
        <v>174</v>
      </c>
      <c r="I47" s="1" t="s">
        <v>7</v>
      </c>
    </row>
    <row r="48" spans="1:9" ht="15.75" x14ac:dyDescent="0.3">
      <c r="I48" s="1"/>
    </row>
    <row r="49" spans="9:9" ht="15.75" x14ac:dyDescent="0.3">
      <c r="I49" s="1"/>
    </row>
    <row r="50" spans="9:9" ht="15.75" x14ac:dyDescent="0.3">
      <c r="I50" s="1"/>
    </row>
    <row r="51" spans="9:9" ht="15.75" x14ac:dyDescent="0.3">
      <c r="I51" s="1"/>
    </row>
    <row r="52" spans="9:9" ht="15.75" x14ac:dyDescent="0.3">
      <c r="I52" s="1"/>
    </row>
    <row r="53" spans="9:9" ht="15.75" x14ac:dyDescent="0.3">
      <c r="I53" s="1"/>
    </row>
    <row r="54" spans="9:9" ht="15.75" x14ac:dyDescent="0.3">
      <c r="I54" s="1"/>
    </row>
  </sheetData>
  <sortState ref="A2:I52">
    <sortCondition descending="1" ref="C2:C52"/>
    <sortCondition ref="E2:E52"/>
    <sortCondition descending="1" ref="D2:D5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9" workbookViewId="0">
      <selection activeCell="F36" sqref="F36"/>
    </sheetView>
  </sheetViews>
  <sheetFormatPr defaultRowHeight="15" x14ac:dyDescent="0.25"/>
  <cols>
    <col min="1" max="1" width="8.42578125" style="5" customWidth="1"/>
    <col min="2" max="2" width="26.5703125" customWidth="1"/>
    <col min="3" max="6" width="11.85546875" customWidth="1"/>
  </cols>
  <sheetData>
    <row r="1" spans="1:6" s="99" customFormat="1" x14ac:dyDescent="0.25">
      <c r="B1" s="99" t="s">
        <v>305</v>
      </c>
    </row>
    <row r="2" spans="1:6" s="99" customFormat="1" x14ac:dyDescent="0.25">
      <c r="A2" s="99" t="s">
        <v>300</v>
      </c>
      <c r="B2" s="99" t="s">
        <v>69</v>
      </c>
      <c r="C2" s="99" t="s">
        <v>301</v>
      </c>
      <c r="D2" s="99" t="s">
        <v>302</v>
      </c>
      <c r="E2" s="99" t="s">
        <v>303</v>
      </c>
      <c r="F2" s="99" t="s">
        <v>304</v>
      </c>
    </row>
    <row r="3" spans="1:6" x14ac:dyDescent="0.25">
      <c r="A3" s="5">
        <v>1</v>
      </c>
      <c r="B3" t="s">
        <v>134</v>
      </c>
      <c r="C3" s="5">
        <v>4</v>
      </c>
      <c r="D3" s="5">
        <v>10</v>
      </c>
      <c r="E3" s="5">
        <v>9</v>
      </c>
      <c r="F3" s="5" t="s">
        <v>217</v>
      </c>
    </row>
    <row r="4" spans="1:6" x14ac:dyDescent="0.25">
      <c r="A4" s="5">
        <v>2</v>
      </c>
      <c r="B4" t="s">
        <v>124</v>
      </c>
      <c r="C4" s="5">
        <v>3</v>
      </c>
      <c r="D4" s="5">
        <v>9</v>
      </c>
      <c r="E4" s="5">
        <v>11</v>
      </c>
      <c r="F4" s="5" t="s">
        <v>218</v>
      </c>
    </row>
    <row r="5" spans="1:6" x14ac:dyDescent="0.25">
      <c r="A5" s="5">
        <v>3</v>
      </c>
      <c r="B5" t="s">
        <v>216</v>
      </c>
      <c r="C5" s="5">
        <v>3</v>
      </c>
      <c r="D5" s="5">
        <v>9</v>
      </c>
      <c r="E5" s="5">
        <v>7</v>
      </c>
      <c r="F5" s="5" t="s">
        <v>219</v>
      </c>
    </row>
    <row r="6" spans="1:6" x14ac:dyDescent="0.25">
      <c r="A6" s="5">
        <v>4</v>
      </c>
      <c r="B6" t="s">
        <v>181</v>
      </c>
      <c r="C6" s="5">
        <v>3</v>
      </c>
      <c r="D6" s="5">
        <v>8</v>
      </c>
      <c r="E6" s="5">
        <v>9</v>
      </c>
      <c r="F6" s="5" t="s">
        <v>220</v>
      </c>
    </row>
    <row r="7" spans="1:6" x14ac:dyDescent="0.25">
      <c r="A7" s="5">
        <v>5</v>
      </c>
      <c r="B7" t="s">
        <v>77</v>
      </c>
      <c r="C7" s="5">
        <v>3</v>
      </c>
      <c r="D7" s="5">
        <v>8</v>
      </c>
      <c r="E7" s="5">
        <v>9</v>
      </c>
      <c r="F7" s="5" t="s">
        <v>221</v>
      </c>
    </row>
    <row r="8" spans="1:6" x14ac:dyDescent="0.25">
      <c r="A8" s="5">
        <v>6</v>
      </c>
      <c r="B8" t="s">
        <v>113</v>
      </c>
      <c r="C8" s="5">
        <v>3</v>
      </c>
      <c r="D8" s="5">
        <v>7</v>
      </c>
      <c r="E8" s="5">
        <v>8</v>
      </c>
      <c r="F8" s="5" t="s">
        <v>222</v>
      </c>
    </row>
    <row r="9" spans="1:6" x14ac:dyDescent="0.25">
      <c r="A9" s="5">
        <v>7</v>
      </c>
      <c r="B9" t="s">
        <v>136</v>
      </c>
      <c r="C9" s="5">
        <v>3</v>
      </c>
      <c r="D9" s="5">
        <v>6</v>
      </c>
      <c r="E9" s="5">
        <v>10</v>
      </c>
      <c r="F9" s="5" t="s">
        <v>223</v>
      </c>
    </row>
    <row r="10" spans="1:6" ht="15.75" thickBot="1" x14ac:dyDescent="0.3">
      <c r="A10" s="100">
        <v>8</v>
      </c>
      <c r="B10" s="101" t="s">
        <v>119</v>
      </c>
      <c r="C10" s="100">
        <v>2</v>
      </c>
      <c r="D10" s="100">
        <v>6</v>
      </c>
      <c r="E10" s="100">
        <v>8</v>
      </c>
      <c r="F10" s="100" t="s">
        <v>224</v>
      </c>
    </row>
    <row r="11" spans="1:6" x14ac:dyDescent="0.25">
      <c r="A11" s="5">
        <v>9</v>
      </c>
      <c r="B11" t="s">
        <v>72</v>
      </c>
      <c r="C11" s="5">
        <v>2</v>
      </c>
      <c r="D11" s="5">
        <v>5</v>
      </c>
      <c r="E11" s="5">
        <v>8</v>
      </c>
      <c r="F11" s="5" t="s">
        <v>225</v>
      </c>
    </row>
    <row r="12" spans="1:6" x14ac:dyDescent="0.25">
      <c r="A12" s="5">
        <v>10</v>
      </c>
      <c r="B12" t="s">
        <v>226</v>
      </c>
      <c r="C12" s="5">
        <v>2</v>
      </c>
      <c r="D12" s="5">
        <v>5</v>
      </c>
      <c r="E12" s="5">
        <v>8</v>
      </c>
      <c r="F12" s="5" t="s">
        <v>227</v>
      </c>
    </row>
    <row r="13" spans="1:6" x14ac:dyDescent="0.25">
      <c r="A13" s="5">
        <v>11</v>
      </c>
      <c r="B13" t="s">
        <v>83</v>
      </c>
      <c r="C13" s="5">
        <v>2</v>
      </c>
      <c r="D13" s="5">
        <v>4</v>
      </c>
      <c r="E13" s="5">
        <v>7</v>
      </c>
      <c r="F13" s="5" t="s">
        <v>228</v>
      </c>
    </row>
    <row r="14" spans="1:6" x14ac:dyDescent="0.25">
      <c r="A14" s="5">
        <v>12</v>
      </c>
      <c r="B14" t="s">
        <v>131</v>
      </c>
      <c r="C14" s="5">
        <v>2</v>
      </c>
      <c r="D14" s="5">
        <v>4</v>
      </c>
      <c r="E14" s="5">
        <v>6</v>
      </c>
      <c r="F14" s="5" t="s">
        <v>229</v>
      </c>
    </row>
    <row r="15" spans="1:6" x14ac:dyDescent="0.25">
      <c r="A15" s="5">
        <v>13</v>
      </c>
      <c r="B15" t="s">
        <v>139</v>
      </c>
      <c r="C15" s="5">
        <v>2</v>
      </c>
      <c r="D15" s="5">
        <v>3</v>
      </c>
      <c r="E15" s="5">
        <v>6</v>
      </c>
      <c r="F15" s="5" t="s">
        <v>230</v>
      </c>
    </row>
    <row r="16" spans="1:6" x14ac:dyDescent="0.25">
      <c r="A16" s="5">
        <v>14</v>
      </c>
      <c r="B16" t="s">
        <v>162</v>
      </c>
      <c r="C16" s="5">
        <v>1</v>
      </c>
      <c r="D16" s="5">
        <v>4</v>
      </c>
      <c r="E16" s="5">
        <v>10</v>
      </c>
      <c r="F16" s="5" t="s">
        <v>231</v>
      </c>
    </row>
    <row r="17" spans="1:6" x14ac:dyDescent="0.25">
      <c r="A17" s="5">
        <v>15</v>
      </c>
      <c r="B17" t="s">
        <v>79</v>
      </c>
      <c r="C17" s="5">
        <v>1</v>
      </c>
      <c r="D17" s="5">
        <v>4</v>
      </c>
      <c r="E17" s="5">
        <v>9</v>
      </c>
      <c r="F17" s="5" t="s">
        <v>232</v>
      </c>
    </row>
    <row r="18" spans="1:6" x14ac:dyDescent="0.25">
      <c r="A18" s="5">
        <v>16</v>
      </c>
      <c r="B18" t="s">
        <v>128</v>
      </c>
      <c r="C18" s="5">
        <v>1</v>
      </c>
      <c r="D18" s="5">
        <v>3</v>
      </c>
      <c r="E18" s="5">
        <v>8</v>
      </c>
      <c r="F18" s="5" t="s">
        <v>233</v>
      </c>
    </row>
    <row r="19" spans="1:6" x14ac:dyDescent="0.25">
      <c r="A19" s="5">
        <v>17</v>
      </c>
      <c r="B19" t="s">
        <v>234</v>
      </c>
      <c r="C19" s="5">
        <v>1</v>
      </c>
      <c r="D19" s="5">
        <v>2</v>
      </c>
      <c r="E19" s="5">
        <v>7</v>
      </c>
      <c r="F19" s="5" t="s">
        <v>235</v>
      </c>
    </row>
    <row r="20" spans="1:6" x14ac:dyDescent="0.25">
      <c r="A20" s="5">
        <v>18</v>
      </c>
      <c r="B20" t="s">
        <v>129</v>
      </c>
      <c r="C20" s="5">
        <v>1</v>
      </c>
      <c r="D20" s="5">
        <v>2</v>
      </c>
      <c r="E20" s="5">
        <v>7</v>
      </c>
      <c r="F20" s="5" t="s">
        <v>236</v>
      </c>
    </row>
    <row r="21" spans="1:6" x14ac:dyDescent="0.25">
      <c r="A21" s="5">
        <v>19</v>
      </c>
      <c r="B21" t="s">
        <v>237</v>
      </c>
      <c r="C21" s="5">
        <v>1</v>
      </c>
      <c r="D21" s="5">
        <v>1</v>
      </c>
      <c r="E21" s="5">
        <v>7</v>
      </c>
      <c r="F21" s="5" t="s">
        <v>238</v>
      </c>
    </row>
    <row r="22" spans="1:6" x14ac:dyDescent="0.25">
      <c r="A22" s="5">
        <v>20</v>
      </c>
      <c r="B22" t="s">
        <v>140</v>
      </c>
      <c r="C22" s="5">
        <v>0</v>
      </c>
      <c r="D22" s="5">
        <v>0</v>
      </c>
      <c r="E22" s="5">
        <v>6</v>
      </c>
      <c r="F22" s="5" t="s">
        <v>239</v>
      </c>
    </row>
    <row r="24" spans="1:6" s="99" customFormat="1" x14ac:dyDescent="0.25">
      <c r="A24" s="99" t="s">
        <v>306</v>
      </c>
      <c r="B24" s="99" t="s">
        <v>307</v>
      </c>
      <c r="C24" s="99" t="s">
        <v>308</v>
      </c>
      <c r="D24" s="99" t="s">
        <v>309</v>
      </c>
    </row>
    <row r="25" spans="1:6" s="99" customFormat="1" x14ac:dyDescent="0.25">
      <c r="C25" s="99" t="s">
        <v>196</v>
      </c>
    </row>
    <row r="26" spans="1:6" x14ac:dyDescent="0.25">
      <c r="A26" s="5">
        <v>1</v>
      </c>
      <c r="B26" t="s">
        <v>243</v>
      </c>
      <c r="C26" t="s">
        <v>244</v>
      </c>
      <c r="D26" t="s">
        <v>245</v>
      </c>
    </row>
    <row r="27" spans="1:6" x14ac:dyDescent="0.25">
      <c r="A27" s="5">
        <v>2</v>
      </c>
      <c r="B27" t="s">
        <v>246</v>
      </c>
      <c r="C27" t="s">
        <v>247</v>
      </c>
      <c r="D27" t="s">
        <v>248</v>
      </c>
    </row>
    <row r="28" spans="1:6" x14ac:dyDescent="0.25">
      <c r="A28" s="5">
        <v>3</v>
      </c>
      <c r="B28" t="s">
        <v>249</v>
      </c>
      <c r="C28" t="s">
        <v>250</v>
      </c>
      <c r="D28" t="s">
        <v>251</v>
      </c>
    </row>
    <row r="29" spans="1:6" x14ac:dyDescent="0.25">
      <c r="A29" s="5">
        <v>4</v>
      </c>
      <c r="B29" t="s">
        <v>252</v>
      </c>
      <c r="C29" t="s">
        <v>253</v>
      </c>
      <c r="D29" t="s">
        <v>254</v>
      </c>
    </row>
    <row r="30" spans="1:6" x14ac:dyDescent="0.25">
      <c r="A30" s="5">
        <v>5</v>
      </c>
      <c r="B30" t="s">
        <v>255</v>
      </c>
      <c r="C30" t="s">
        <v>256</v>
      </c>
      <c r="D30" t="s">
        <v>257</v>
      </c>
    </row>
    <row r="31" spans="1:6" x14ac:dyDescent="0.25">
      <c r="A31" s="5">
        <v>6</v>
      </c>
      <c r="B31" t="s">
        <v>258</v>
      </c>
      <c r="C31" t="s">
        <v>259</v>
      </c>
      <c r="D31" t="s">
        <v>260</v>
      </c>
    </row>
    <row r="32" spans="1:6" x14ac:dyDescent="0.25">
      <c r="A32" s="5">
        <v>7</v>
      </c>
      <c r="B32" t="s">
        <v>261</v>
      </c>
      <c r="C32" t="s">
        <v>262</v>
      </c>
      <c r="D32" t="s">
        <v>263</v>
      </c>
    </row>
    <row r="33" spans="1:4" x14ac:dyDescent="0.25">
      <c r="A33" s="5">
        <v>8</v>
      </c>
      <c r="B33" t="s">
        <v>264</v>
      </c>
      <c r="C33" t="s">
        <v>265</v>
      </c>
      <c r="D33" t="s">
        <v>266</v>
      </c>
    </row>
    <row r="34" spans="1:4" x14ac:dyDescent="0.25">
      <c r="A34" s="5">
        <v>9</v>
      </c>
      <c r="B34" t="s">
        <v>267</v>
      </c>
      <c r="C34" t="s">
        <v>268</v>
      </c>
      <c r="D34" t="s">
        <v>269</v>
      </c>
    </row>
    <row r="35" spans="1:4" x14ac:dyDescent="0.25">
      <c r="A35" s="5">
        <v>10</v>
      </c>
      <c r="B35" t="s">
        <v>270</v>
      </c>
      <c r="C35" t="s">
        <v>271</v>
      </c>
      <c r="D35" t="s">
        <v>272</v>
      </c>
    </row>
    <row r="36" spans="1:4" x14ac:dyDescent="0.25">
      <c r="C36" s="99" t="s">
        <v>198</v>
      </c>
    </row>
    <row r="37" spans="1:4" x14ac:dyDescent="0.25">
      <c r="A37" s="5">
        <v>1</v>
      </c>
      <c r="B37" t="s">
        <v>249</v>
      </c>
      <c r="C37" t="s">
        <v>271</v>
      </c>
      <c r="D37" t="s">
        <v>280</v>
      </c>
    </row>
    <row r="38" spans="1:4" x14ac:dyDescent="0.25">
      <c r="A38" s="5">
        <v>2</v>
      </c>
      <c r="B38" t="s">
        <v>255</v>
      </c>
      <c r="C38" t="s">
        <v>285</v>
      </c>
      <c r="D38" t="s">
        <v>286</v>
      </c>
    </row>
    <row r="39" spans="1:4" x14ac:dyDescent="0.25">
      <c r="A39" s="5">
        <v>3</v>
      </c>
      <c r="B39" t="s">
        <v>287</v>
      </c>
      <c r="C39" t="s">
        <v>288</v>
      </c>
      <c r="D39" t="s">
        <v>263</v>
      </c>
    </row>
    <row r="40" spans="1:4" x14ac:dyDescent="0.25">
      <c r="A40" s="5">
        <v>4</v>
      </c>
      <c r="B40" t="s">
        <v>282</v>
      </c>
      <c r="C40" t="s">
        <v>289</v>
      </c>
      <c r="D40" t="s">
        <v>269</v>
      </c>
    </row>
    <row r="41" spans="1:4" x14ac:dyDescent="0.25">
      <c r="A41" s="5">
        <v>5</v>
      </c>
      <c r="B41" t="s">
        <v>279</v>
      </c>
      <c r="C41" t="s">
        <v>290</v>
      </c>
      <c r="D41" t="s">
        <v>274</v>
      </c>
    </row>
    <row r="42" spans="1:4" x14ac:dyDescent="0.25">
      <c r="A42" s="5">
        <v>6</v>
      </c>
      <c r="B42" t="s">
        <v>291</v>
      </c>
      <c r="C42" t="s">
        <v>292</v>
      </c>
      <c r="D42" t="s">
        <v>293</v>
      </c>
    </row>
    <row r="43" spans="1:4" x14ac:dyDescent="0.25">
      <c r="A43" s="5">
        <v>7</v>
      </c>
      <c r="B43" t="s">
        <v>275</v>
      </c>
      <c r="C43" t="s">
        <v>292</v>
      </c>
      <c r="D43" t="s">
        <v>251</v>
      </c>
    </row>
    <row r="44" spans="1:4" x14ac:dyDescent="0.25">
      <c r="A44" s="5">
        <v>8</v>
      </c>
      <c r="B44" t="s">
        <v>294</v>
      </c>
      <c r="C44" t="s">
        <v>276</v>
      </c>
      <c r="D44" t="s">
        <v>257</v>
      </c>
    </row>
    <row r="45" spans="1:4" x14ac:dyDescent="0.25">
      <c r="A45" s="5">
        <v>9</v>
      </c>
      <c r="B45" t="s">
        <v>261</v>
      </c>
      <c r="C45" t="s">
        <v>268</v>
      </c>
      <c r="D45" t="s">
        <v>283</v>
      </c>
    </row>
    <row r="46" spans="1:4" x14ac:dyDescent="0.25">
      <c r="A46" s="5">
        <v>10</v>
      </c>
      <c r="B46" t="s">
        <v>267</v>
      </c>
      <c r="C46" t="s">
        <v>295</v>
      </c>
      <c r="D46" t="s">
        <v>296</v>
      </c>
    </row>
    <row r="47" spans="1:4" x14ac:dyDescent="0.25">
      <c r="C47" s="99" t="s">
        <v>199</v>
      </c>
    </row>
    <row r="48" spans="1:4" x14ac:dyDescent="0.25">
      <c r="A48" s="5">
        <v>1</v>
      </c>
      <c r="B48" t="s">
        <v>263</v>
      </c>
      <c r="C48" t="s">
        <v>262</v>
      </c>
      <c r="D48" t="s">
        <v>249</v>
      </c>
    </row>
    <row r="49" spans="1:4" x14ac:dyDescent="0.25">
      <c r="A49" s="5">
        <v>2</v>
      </c>
      <c r="B49" t="s">
        <v>269</v>
      </c>
      <c r="C49" t="s">
        <v>273</v>
      </c>
      <c r="D49" t="s">
        <v>252</v>
      </c>
    </row>
    <row r="50" spans="1:4" x14ac:dyDescent="0.25">
      <c r="A50" s="5">
        <v>3</v>
      </c>
      <c r="B50" t="s">
        <v>274</v>
      </c>
      <c r="C50" t="s">
        <v>247</v>
      </c>
      <c r="D50" t="s">
        <v>275</v>
      </c>
    </row>
    <row r="51" spans="1:4" x14ac:dyDescent="0.25">
      <c r="A51" s="5">
        <v>4</v>
      </c>
      <c r="B51" t="s">
        <v>254</v>
      </c>
      <c r="C51" t="s">
        <v>276</v>
      </c>
      <c r="D51" t="s">
        <v>267</v>
      </c>
    </row>
    <row r="52" spans="1:4" x14ac:dyDescent="0.25">
      <c r="A52" s="5">
        <v>5</v>
      </c>
      <c r="B52" t="s">
        <v>272</v>
      </c>
      <c r="C52" t="s">
        <v>277</v>
      </c>
      <c r="D52" t="s">
        <v>255</v>
      </c>
    </row>
    <row r="53" spans="1:4" x14ac:dyDescent="0.25">
      <c r="A53" s="5">
        <v>6</v>
      </c>
      <c r="B53" t="s">
        <v>260</v>
      </c>
      <c r="C53" t="s">
        <v>278</v>
      </c>
      <c r="D53" t="s">
        <v>279</v>
      </c>
    </row>
    <row r="54" spans="1:4" x14ac:dyDescent="0.25">
      <c r="A54" s="5">
        <v>7</v>
      </c>
      <c r="B54" t="s">
        <v>280</v>
      </c>
      <c r="C54" t="s">
        <v>281</v>
      </c>
      <c r="D54" t="s">
        <v>282</v>
      </c>
    </row>
    <row r="55" spans="1:4" x14ac:dyDescent="0.25">
      <c r="A55" s="5">
        <v>8</v>
      </c>
      <c r="B55" t="s">
        <v>283</v>
      </c>
      <c r="C55" t="s">
        <v>259</v>
      </c>
      <c r="D55" t="s">
        <v>243</v>
      </c>
    </row>
    <row r="56" spans="1:4" x14ac:dyDescent="0.25">
      <c r="A56" s="5">
        <v>9</v>
      </c>
      <c r="B56" t="s">
        <v>257</v>
      </c>
      <c r="C56" t="s">
        <v>247</v>
      </c>
      <c r="D56" t="s">
        <v>261</v>
      </c>
    </row>
    <row r="57" spans="1:4" x14ac:dyDescent="0.25">
      <c r="A57" s="5">
        <v>10</v>
      </c>
      <c r="B57" t="s">
        <v>251</v>
      </c>
      <c r="C57" t="s">
        <v>284</v>
      </c>
      <c r="D57" t="s">
        <v>264</v>
      </c>
    </row>
    <row r="58" spans="1:4" x14ac:dyDescent="0.25">
      <c r="C58" s="99" t="s">
        <v>200</v>
      </c>
    </row>
    <row r="59" spans="1:4" x14ac:dyDescent="0.25">
      <c r="A59" s="5">
        <v>1</v>
      </c>
      <c r="B59" t="s">
        <v>249</v>
      </c>
      <c r="C59" t="s">
        <v>253</v>
      </c>
      <c r="D59" t="s">
        <v>269</v>
      </c>
    </row>
    <row r="60" spans="1:4" x14ac:dyDescent="0.25">
      <c r="A60" s="5">
        <v>2</v>
      </c>
      <c r="B60" t="s">
        <v>270</v>
      </c>
      <c r="C60" t="s">
        <v>268</v>
      </c>
      <c r="D60" t="s">
        <v>254</v>
      </c>
    </row>
    <row r="61" spans="1:4" x14ac:dyDescent="0.25">
      <c r="A61" s="5">
        <v>3</v>
      </c>
      <c r="B61" t="s">
        <v>287</v>
      </c>
      <c r="C61" t="s">
        <v>256</v>
      </c>
      <c r="D61" t="s">
        <v>272</v>
      </c>
    </row>
    <row r="62" spans="1:4" x14ac:dyDescent="0.25">
      <c r="A62" s="5">
        <v>4</v>
      </c>
      <c r="B62" t="s">
        <v>252</v>
      </c>
      <c r="C62" t="s">
        <v>284</v>
      </c>
      <c r="D62" t="s">
        <v>266</v>
      </c>
    </row>
    <row r="63" spans="1:4" x14ac:dyDescent="0.25">
      <c r="A63" s="5">
        <v>5</v>
      </c>
      <c r="B63" t="s">
        <v>255</v>
      </c>
      <c r="C63" t="s">
        <v>259</v>
      </c>
      <c r="D63" t="s">
        <v>263</v>
      </c>
    </row>
    <row r="64" spans="1:4" x14ac:dyDescent="0.25">
      <c r="A64" s="5">
        <v>6</v>
      </c>
      <c r="B64" t="s">
        <v>243</v>
      </c>
      <c r="C64" t="s">
        <v>297</v>
      </c>
      <c r="D64" t="s">
        <v>280</v>
      </c>
    </row>
    <row r="65" spans="1:4" x14ac:dyDescent="0.25">
      <c r="A65" s="5">
        <v>7</v>
      </c>
      <c r="B65" t="s">
        <v>275</v>
      </c>
      <c r="C65" t="s">
        <v>244</v>
      </c>
      <c r="D65" t="s">
        <v>257</v>
      </c>
    </row>
    <row r="66" spans="1:4" x14ac:dyDescent="0.25">
      <c r="A66" s="5">
        <v>8</v>
      </c>
      <c r="B66" t="s">
        <v>267</v>
      </c>
      <c r="C66" t="s">
        <v>247</v>
      </c>
      <c r="D66" t="s">
        <v>251</v>
      </c>
    </row>
    <row r="67" spans="1:4" x14ac:dyDescent="0.25">
      <c r="A67" s="5">
        <v>9</v>
      </c>
      <c r="B67" t="s">
        <v>279</v>
      </c>
      <c r="C67" t="s">
        <v>298</v>
      </c>
      <c r="D67" t="s">
        <v>283</v>
      </c>
    </row>
    <row r="68" spans="1:4" x14ac:dyDescent="0.25">
      <c r="A68" s="5">
        <v>10</v>
      </c>
      <c r="B68" t="s">
        <v>264</v>
      </c>
      <c r="C68" t="s">
        <v>285</v>
      </c>
      <c r="D68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M18" sqref="M18:N18"/>
    </sheetView>
  </sheetViews>
  <sheetFormatPr defaultRowHeight="15" x14ac:dyDescent="0.25"/>
  <cols>
    <col min="1" max="14" width="9.140625" style="87" customWidth="1"/>
    <col min="15" max="16384" width="9.140625" style="87"/>
  </cols>
  <sheetData>
    <row r="1" spans="1:12" ht="23.25" x14ac:dyDescent="0.25">
      <c r="A1" s="86"/>
      <c r="B1" s="98" t="s">
        <v>240</v>
      </c>
      <c r="C1" s="86"/>
      <c r="D1" s="86"/>
      <c r="E1" s="86"/>
      <c r="F1" s="86" t="s">
        <v>241</v>
      </c>
      <c r="G1" s="86"/>
      <c r="H1" s="86" t="s">
        <v>242</v>
      </c>
      <c r="I1" s="86"/>
      <c r="J1" s="86"/>
    </row>
    <row r="2" spans="1:12" ht="15" customHeight="1" x14ac:dyDescent="0.25">
      <c r="B2" s="86"/>
    </row>
    <row r="3" spans="1:12" ht="15" customHeight="1" x14ac:dyDescent="0.25">
      <c r="B3" s="86"/>
    </row>
    <row r="4" spans="1:12" ht="18.75" x14ac:dyDescent="0.25">
      <c r="A4" s="88" t="s">
        <v>134</v>
      </c>
      <c r="B4" s="89"/>
      <c r="C4" s="90">
        <v>13</v>
      </c>
      <c r="D4" s="91"/>
    </row>
    <row r="5" spans="1:12" ht="15" customHeight="1" x14ac:dyDescent="0.25">
      <c r="B5" s="86"/>
      <c r="D5" s="92"/>
    </row>
    <row r="6" spans="1:12" ht="18.75" x14ac:dyDescent="0.25">
      <c r="A6" s="93" t="s">
        <v>197</v>
      </c>
      <c r="B6" s="86"/>
      <c r="D6" s="94"/>
      <c r="E6" s="95" t="s">
        <v>134</v>
      </c>
      <c r="F6" s="89"/>
      <c r="G6" s="90">
        <v>13</v>
      </c>
      <c r="H6" s="91"/>
    </row>
    <row r="7" spans="1:12" ht="15" customHeight="1" x14ac:dyDescent="0.25">
      <c r="B7" s="86"/>
      <c r="D7" s="94"/>
      <c r="H7" s="92"/>
    </row>
    <row r="8" spans="1:12" ht="18.75" x14ac:dyDescent="0.25">
      <c r="A8" s="88" t="s">
        <v>119</v>
      </c>
      <c r="B8" s="89"/>
      <c r="C8" s="90">
        <v>10</v>
      </c>
      <c r="D8" s="96"/>
      <c r="H8" s="94"/>
    </row>
    <row r="9" spans="1:12" ht="15" customHeight="1" x14ac:dyDescent="0.25">
      <c r="B9" s="86"/>
      <c r="H9" s="94"/>
    </row>
    <row r="10" spans="1:12" ht="18.75" x14ac:dyDescent="0.25">
      <c r="B10" s="86"/>
      <c r="E10" s="93" t="s">
        <v>197</v>
      </c>
      <c r="G10" s="86"/>
      <c r="H10" s="94"/>
      <c r="I10" s="95" t="s">
        <v>134</v>
      </c>
      <c r="J10" s="88"/>
      <c r="K10" s="90">
        <v>13</v>
      </c>
      <c r="L10" s="91"/>
    </row>
    <row r="11" spans="1:12" ht="15" customHeight="1" x14ac:dyDescent="0.25">
      <c r="B11" s="86"/>
      <c r="H11" s="94"/>
      <c r="L11" s="92"/>
    </row>
    <row r="12" spans="1:12" ht="18.75" x14ac:dyDescent="0.25">
      <c r="A12" s="88" t="s">
        <v>181</v>
      </c>
      <c r="B12" s="89"/>
      <c r="C12" s="90">
        <v>13</v>
      </c>
      <c r="D12" s="91"/>
      <c r="H12" s="94"/>
      <c r="L12" s="94"/>
    </row>
    <row r="13" spans="1:12" ht="15" customHeight="1" x14ac:dyDescent="0.25">
      <c r="B13" s="86"/>
      <c r="D13" s="92"/>
      <c r="H13" s="94"/>
      <c r="L13" s="94"/>
    </row>
    <row r="14" spans="1:12" ht="18.75" x14ac:dyDescent="0.25">
      <c r="A14" s="93" t="s">
        <v>197</v>
      </c>
      <c r="B14" s="86"/>
      <c r="D14" s="94"/>
      <c r="E14" s="95" t="s">
        <v>181</v>
      </c>
      <c r="F14" s="89"/>
      <c r="G14" s="90">
        <v>7</v>
      </c>
      <c r="H14" s="96"/>
      <c r="L14" s="94"/>
    </row>
    <row r="15" spans="1:12" ht="15" customHeight="1" x14ac:dyDescent="0.25">
      <c r="D15" s="94"/>
      <c r="L15" s="94"/>
    </row>
    <row r="16" spans="1:12" ht="18.75" x14ac:dyDescent="0.25">
      <c r="A16" s="88" t="s">
        <v>77</v>
      </c>
      <c r="B16" s="89"/>
      <c r="C16" s="90">
        <v>9</v>
      </c>
      <c r="D16" s="96"/>
      <c r="L16" s="94"/>
    </row>
    <row r="17" spans="1:14" ht="15" customHeight="1" x14ac:dyDescent="0.25">
      <c r="L17" s="94"/>
    </row>
    <row r="18" spans="1:14" ht="18.75" x14ac:dyDescent="0.25">
      <c r="A18" s="93"/>
      <c r="I18" s="93" t="s">
        <v>197</v>
      </c>
      <c r="K18" s="86"/>
      <c r="L18" s="94"/>
      <c r="M18" s="102" t="s">
        <v>134</v>
      </c>
      <c r="N18" s="103"/>
    </row>
    <row r="19" spans="1:14" ht="15" customHeight="1" x14ac:dyDescent="0.25">
      <c r="L19" s="94"/>
    </row>
    <row r="20" spans="1:14" ht="18.75" x14ac:dyDescent="0.25">
      <c r="A20" s="88" t="s">
        <v>216</v>
      </c>
      <c r="B20" s="89"/>
      <c r="C20" s="90">
        <v>13</v>
      </c>
      <c r="D20" s="91"/>
      <c r="L20" s="94"/>
    </row>
    <row r="21" spans="1:14" ht="15" customHeight="1" x14ac:dyDescent="0.25">
      <c r="D21" s="92"/>
      <c r="L21" s="94"/>
    </row>
    <row r="22" spans="1:14" ht="18.75" x14ac:dyDescent="0.25">
      <c r="A22" s="93" t="s">
        <v>197</v>
      </c>
      <c r="B22" s="86"/>
      <c r="D22" s="94"/>
      <c r="E22" s="95" t="s">
        <v>216</v>
      </c>
      <c r="F22" s="89"/>
      <c r="G22" s="90">
        <v>13</v>
      </c>
      <c r="H22" s="91"/>
      <c r="L22" s="94"/>
    </row>
    <row r="23" spans="1:14" ht="15" customHeight="1" x14ac:dyDescent="0.25">
      <c r="D23" s="94"/>
      <c r="H23" s="92"/>
      <c r="L23" s="94"/>
    </row>
    <row r="24" spans="1:14" ht="18.75" x14ac:dyDescent="0.25">
      <c r="A24" s="88" t="s">
        <v>113</v>
      </c>
      <c r="B24" s="89"/>
      <c r="C24" s="90">
        <v>12</v>
      </c>
      <c r="D24" s="96"/>
      <c r="H24" s="94"/>
      <c r="L24" s="94"/>
    </row>
    <row r="25" spans="1:14" ht="15" customHeight="1" x14ac:dyDescent="0.25">
      <c r="H25" s="94"/>
      <c r="L25" s="94"/>
    </row>
    <row r="26" spans="1:14" ht="18.75" x14ac:dyDescent="0.25">
      <c r="E26" s="93" t="s">
        <v>197</v>
      </c>
      <c r="G26" s="86"/>
      <c r="H26" s="94"/>
      <c r="I26" s="95" t="s">
        <v>216</v>
      </c>
      <c r="J26" s="89"/>
      <c r="K26" s="90">
        <v>2</v>
      </c>
      <c r="L26" s="96"/>
    </row>
    <row r="27" spans="1:14" ht="15" customHeight="1" x14ac:dyDescent="0.25">
      <c r="H27" s="94"/>
    </row>
    <row r="28" spans="1:14" ht="18.75" x14ac:dyDescent="0.25">
      <c r="A28" s="88" t="s">
        <v>124</v>
      </c>
      <c r="B28" s="89"/>
      <c r="C28" s="90">
        <v>13</v>
      </c>
      <c r="D28" s="91"/>
      <c r="H28" s="94"/>
    </row>
    <row r="29" spans="1:14" ht="15" customHeight="1" x14ac:dyDescent="0.25">
      <c r="D29" s="92"/>
      <c r="H29" s="94"/>
    </row>
    <row r="30" spans="1:14" ht="18.75" x14ac:dyDescent="0.25">
      <c r="A30" s="93" t="s">
        <v>197</v>
      </c>
      <c r="B30" s="86"/>
      <c r="D30" s="94"/>
      <c r="E30" s="95" t="s">
        <v>124</v>
      </c>
      <c r="F30" s="89"/>
      <c r="G30" s="90">
        <v>0</v>
      </c>
      <c r="H30" s="96"/>
    </row>
    <row r="31" spans="1:14" ht="15" customHeight="1" x14ac:dyDescent="0.25">
      <c r="D31" s="94"/>
    </row>
    <row r="32" spans="1:14" ht="18.75" x14ac:dyDescent="0.25">
      <c r="A32" s="88" t="s">
        <v>136</v>
      </c>
      <c r="B32" s="89"/>
      <c r="C32" s="90">
        <v>10</v>
      </c>
      <c r="D32" s="96"/>
    </row>
    <row r="36" spans="1:6" ht="18.75" x14ac:dyDescent="0.25">
      <c r="A36" s="88" t="s">
        <v>181</v>
      </c>
      <c r="B36" s="89"/>
      <c r="C36" s="90">
        <v>13</v>
      </c>
      <c r="D36" s="91"/>
      <c r="E36" s="97"/>
      <c r="F36" s="97"/>
    </row>
    <row r="37" spans="1:6" ht="15" customHeight="1" x14ac:dyDescent="0.25">
      <c r="D37" s="92"/>
    </row>
    <row r="38" spans="1:6" ht="18.75" x14ac:dyDescent="0.25">
      <c r="A38" s="93" t="s">
        <v>197</v>
      </c>
      <c r="D38" s="94"/>
      <c r="E38" s="95" t="s">
        <v>181</v>
      </c>
      <c r="F38" s="88"/>
    </row>
    <row r="39" spans="1:6" ht="15" customHeight="1" x14ac:dyDescent="0.25">
      <c r="D39" s="94"/>
    </row>
    <row r="40" spans="1:6" ht="18.75" x14ac:dyDescent="0.25">
      <c r="A40" s="88" t="s">
        <v>124</v>
      </c>
      <c r="B40" s="89"/>
      <c r="C40" s="90">
        <v>7</v>
      </c>
      <c r="D40" s="96"/>
    </row>
  </sheetData>
  <mergeCells count="19">
    <mergeCell ref="A40:B40"/>
    <mergeCell ref="A28:B28"/>
    <mergeCell ref="E30:F30"/>
    <mergeCell ref="A32:B32"/>
    <mergeCell ref="A36:B36"/>
    <mergeCell ref="E36:F36"/>
    <mergeCell ref="E38:F38"/>
    <mergeCell ref="A16:B16"/>
    <mergeCell ref="M18:N18"/>
    <mergeCell ref="A20:B20"/>
    <mergeCell ref="E22:F22"/>
    <mergeCell ref="A24:B24"/>
    <mergeCell ref="I26:J26"/>
    <mergeCell ref="A4:B4"/>
    <mergeCell ref="E6:F6"/>
    <mergeCell ref="A8:B8"/>
    <mergeCell ref="I10:J10"/>
    <mergeCell ref="A12:B12"/>
    <mergeCell ref="E14:F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2" workbookViewId="0">
      <selection activeCell="A4" sqref="A4:XFD43"/>
    </sheetView>
  </sheetViews>
  <sheetFormatPr defaultRowHeight="15" x14ac:dyDescent="0.25"/>
  <cols>
    <col min="2" max="2" width="37.7109375" customWidth="1"/>
  </cols>
  <sheetData>
    <row r="1" spans="1:3" ht="73.5" customHeight="1" x14ac:dyDescent="0.25">
      <c r="A1" s="85" t="s">
        <v>68</v>
      </c>
      <c r="B1" s="85"/>
      <c r="C1" s="85"/>
    </row>
    <row r="2" spans="1:3" x14ac:dyDescent="0.25">
      <c r="A2" s="3"/>
    </row>
    <row r="3" spans="1:3" ht="16.5" x14ac:dyDescent="0.25">
      <c r="A3" s="4"/>
      <c r="B3" s="4" t="s">
        <v>69</v>
      </c>
      <c r="C3" s="4" t="s">
        <v>70</v>
      </c>
    </row>
    <row r="4" spans="1:3" ht="16.5" x14ac:dyDescent="0.25">
      <c r="A4" s="4">
        <v>11</v>
      </c>
      <c r="B4" s="4" t="s">
        <v>81</v>
      </c>
      <c r="C4" s="4">
        <v>99</v>
      </c>
    </row>
    <row r="5" spans="1:3" ht="16.5" x14ac:dyDescent="0.25">
      <c r="A5" s="4">
        <v>2</v>
      </c>
      <c r="B5" s="4" t="s">
        <v>72</v>
      </c>
      <c r="C5" s="4">
        <v>135</v>
      </c>
    </row>
    <row r="6" spans="1:3" ht="16.5" x14ac:dyDescent="0.25">
      <c r="A6" s="4">
        <v>37</v>
      </c>
      <c r="B6" s="4" t="s">
        <v>107</v>
      </c>
      <c r="C6" s="4">
        <v>11</v>
      </c>
    </row>
    <row r="7" spans="1:3" ht="16.5" x14ac:dyDescent="0.25">
      <c r="A7" s="4">
        <v>25</v>
      </c>
      <c r="B7" s="4" t="s">
        <v>95</v>
      </c>
      <c r="C7" s="4">
        <v>61</v>
      </c>
    </row>
    <row r="8" spans="1:3" ht="16.5" x14ac:dyDescent="0.25">
      <c r="A8" s="4">
        <v>24</v>
      </c>
      <c r="B8" s="4" t="s">
        <v>94</v>
      </c>
      <c r="C8" s="4">
        <v>66</v>
      </c>
    </row>
    <row r="9" spans="1:3" ht="16.5" x14ac:dyDescent="0.25">
      <c r="A9" s="4">
        <v>17</v>
      </c>
      <c r="B9" s="4" t="s">
        <v>87</v>
      </c>
      <c r="C9" s="4">
        <v>80</v>
      </c>
    </row>
    <row r="10" spans="1:3" ht="16.5" x14ac:dyDescent="0.25">
      <c r="A10" s="4">
        <v>20</v>
      </c>
      <c r="B10" s="4" t="s">
        <v>90</v>
      </c>
      <c r="C10" s="4">
        <v>78</v>
      </c>
    </row>
    <row r="11" spans="1:3" ht="16.5" x14ac:dyDescent="0.25">
      <c r="A11" s="4">
        <v>40</v>
      </c>
      <c r="B11" s="4" t="s">
        <v>110</v>
      </c>
      <c r="C11" s="4">
        <v>2</v>
      </c>
    </row>
    <row r="12" spans="1:3" ht="16.5" x14ac:dyDescent="0.25">
      <c r="A12" s="4">
        <v>28</v>
      </c>
      <c r="B12" s="4" t="s">
        <v>98</v>
      </c>
      <c r="C12" s="4">
        <v>47</v>
      </c>
    </row>
    <row r="13" spans="1:3" ht="16.5" x14ac:dyDescent="0.25">
      <c r="A13" s="4">
        <v>26</v>
      </c>
      <c r="B13" s="4" t="s">
        <v>96</v>
      </c>
      <c r="C13" s="4">
        <v>60</v>
      </c>
    </row>
    <row r="14" spans="1:3" ht="16.5" x14ac:dyDescent="0.25">
      <c r="A14" s="4">
        <v>39</v>
      </c>
      <c r="B14" s="4" t="s">
        <v>109</v>
      </c>
      <c r="C14" s="4">
        <v>6</v>
      </c>
    </row>
    <row r="15" spans="1:3" ht="16.5" x14ac:dyDescent="0.25">
      <c r="A15" s="4">
        <v>19</v>
      </c>
      <c r="B15" s="4" t="s">
        <v>89</v>
      </c>
      <c r="C15" s="4">
        <v>79</v>
      </c>
    </row>
    <row r="16" spans="1:3" ht="16.5" x14ac:dyDescent="0.25">
      <c r="A16" s="4">
        <v>7</v>
      </c>
      <c r="B16" s="4" t="s">
        <v>77</v>
      </c>
      <c r="C16" s="4">
        <v>117</v>
      </c>
    </row>
    <row r="17" spans="1:3" ht="16.5" x14ac:dyDescent="0.25">
      <c r="A17" s="4">
        <v>32</v>
      </c>
      <c r="B17" s="4" t="s">
        <v>102</v>
      </c>
      <c r="C17" s="4">
        <v>41</v>
      </c>
    </row>
    <row r="18" spans="1:3" ht="16.5" x14ac:dyDescent="0.25">
      <c r="A18" s="4">
        <v>33</v>
      </c>
      <c r="B18" s="4" t="s">
        <v>103</v>
      </c>
      <c r="C18" s="4">
        <v>36</v>
      </c>
    </row>
    <row r="19" spans="1:3" ht="16.5" x14ac:dyDescent="0.25">
      <c r="A19" s="4">
        <v>23</v>
      </c>
      <c r="B19" s="4" t="s">
        <v>93</v>
      </c>
      <c r="C19" s="4">
        <v>71</v>
      </c>
    </row>
    <row r="20" spans="1:3" ht="16.5" x14ac:dyDescent="0.25">
      <c r="A20" s="4">
        <v>15</v>
      </c>
      <c r="B20" s="4" t="s">
        <v>85</v>
      </c>
      <c r="C20" s="4">
        <v>83</v>
      </c>
    </row>
    <row r="21" spans="1:3" ht="16.5" x14ac:dyDescent="0.25">
      <c r="A21" s="4">
        <v>16</v>
      </c>
      <c r="B21" s="4" t="s">
        <v>86</v>
      </c>
      <c r="C21" s="4">
        <v>81</v>
      </c>
    </row>
    <row r="22" spans="1:3" ht="16.5" x14ac:dyDescent="0.25">
      <c r="A22" s="4">
        <v>36</v>
      </c>
      <c r="B22" s="4" t="s">
        <v>106</v>
      </c>
      <c r="C22" s="4">
        <v>13</v>
      </c>
    </row>
    <row r="23" spans="1:3" ht="16.5" x14ac:dyDescent="0.25">
      <c r="A23" s="4">
        <v>3</v>
      </c>
      <c r="B23" s="4" t="s">
        <v>73</v>
      </c>
      <c r="C23" s="4">
        <v>133</v>
      </c>
    </row>
    <row r="24" spans="1:3" ht="16.5" x14ac:dyDescent="0.25">
      <c r="A24" s="4">
        <v>30</v>
      </c>
      <c r="B24" s="4" t="s">
        <v>100</v>
      </c>
      <c r="C24" s="4">
        <v>45</v>
      </c>
    </row>
    <row r="25" spans="1:3" ht="16.5" x14ac:dyDescent="0.25">
      <c r="A25" s="4">
        <v>34</v>
      </c>
      <c r="B25" s="4" t="s">
        <v>104</v>
      </c>
      <c r="C25" s="4">
        <v>20</v>
      </c>
    </row>
    <row r="26" spans="1:3" ht="16.5" x14ac:dyDescent="0.25">
      <c r="A26" s="4">
        <v>1</v>
      </c>
      <c r="B26" s="4" t="s">
        <v>71</v>
      </c>
      <c r="C26" s="4">
        <v>143</v>
      </c>
    </row>
    <row r="27" spans="1:3" ht="16.5" x14ac:dyDescent="0.25">
      <c r="A27" s="4">
        <v>8</v>
      </c>
      <c r="B27" s="4" t="s">
        <v>78</v>
      </c>
      <c r="C27" s="4">
        <v>112</v>
      </c>
    </row>
    <row r="28" spans="1:3" ht="16.5" x14ac:dyDescent="0.25">
      <c r="A28" s="4">
        <v>14</v>
      </c>
      <c r="B28" s="4" t="s">
        <v>84</v>
      </c>
      <c r="C28" s="4">
        <v>84</v>
      </c>
    </row>
    <row r="29" spans="1:3" ht="16.5" x14ac:dyDescent="0.25">
      <c r="A29" s="4">
        <v>12</v>
      </c>
      <c r="B29" s="4" t="s">
        <v>82</v>
      </c>
      <c r="C29" s="4">
        <v>94</v>
      </c>
    </row>
    <row r="30" spans="1:3" ht="16.5" x14ac:dyDescent="0.25">
      <c r="A30" s="4">
        <v>4</v>
      </c>
      <c r="B30" s="4" t="s">
        <v>74</v>
      </c>
      <c r="C30" s="4">
        <v>133</v>
      </c>
    </row>
    <row r="31" spans="1:3" ht="16.5" x14ac:dyDescent="0.25">
      <c r="A31" s="4">
        <v>38</v>
      </c>
      <c r="B31" s="4" t="s">
        <v>108</v>
      </c>
      <c r="C31" s="4">
        <v>11</v>
      </c>
    </row>
    <row r="32" spans="1:3" ht="16.5" x14ac:dyDescent="0.25">
      <c r="A32" s="4">
        <v>9</v>
      </c>
      <c r="B32" s="4" t="s">
        <v>79</v>
      </c>
      <c r="C32" s="4">
        <v>110</v>
      </c>
    </row>
    <row r="33" spans="1:3" ht="16.5" x14ac:dyDescent="0.25">
      <c r="A33" s="4">
        <v>18</v>
      </c>
      <c r="B33" s="4" t="s">
        <v>88</v>
      </c>
      <c r="C33" s="4">
        <v>80</v>
      </c>
    </row>
    <row r="34" spans="1:3" ht="16.5" x14ac:dyDescent="0.25">
      <c r="A34" s="4">
        <v>13</v>
      </c>
      <c r="B34" s="4" t="s">
        <v>83</v>
      </c>
      <c r="C34" s="4">
        <v>94</v>
      </c>
    </row>
    <row r="35" spans="1:3" ht="16.5" x14ac:dyDescent="0.25">
      <c r="A35" s="4">
        <v>10</v>
      </c>
      <c r="B35" s="4" t="s">
        <v>80</v>
      </c>
      <c r="C35" s="4">
        <v>106</v>
      </c>
    </row>
    <row r="36" spans="1:3" ht="16.5" x14ac:dyDescent="0.25">
      <c r="A36" s="4">
        <v>22</v>
      </c>
      <c r="B36" s="4" t="s">
        <v>92</v>
      </c>
      <c r="C36" s="4">
        <v>73</v>
      </c>
    </row>
    <row r="37" spans="1:3" ht="16.5" x14ac:dyDescent="0.25">
      <c r="A37" s="4">
        <v>21</v>
      </c>
      <c r="B37" s="4" t="s">
        <v>91</v>
      </c>
      <c r="C37" s="4">
        <v>75</v>
      </c>
    </row>
    <row r="38" spans="1:3" ht="16.5" x14ac:dyDescent="0.25">
      <c r="A38" s="4">
        <v>35</v>
      </c>
      <c r="B38" s="4" t="s">
        <v>105</v>
      </c>
      <c r="C38" s="4">
        <v>14</v>
      </c>
    </row>
    <row r="39" spans="1:3" ht="16.5" x14ac:dyDescent="0.25">
      <c r="A39" s="4">
        <v>31</v>
      </c>
      <c r="B39" s="4" t="s">
        <v>101</v>
      </c>
      <c r="C39" s="4">
        <v>42</v>
      </c>
    </row>
    <row r="40" spans="1:3" ht="16.5" x14ac:dyDescent="0.25">
      <c r="A40" s="4">
        <v>27</v>
      </c>
      <c r="B40" s="4" t="s">
        <v>97</v>
      </c>
      <c r="C40" s="4">
        <v>53</v>
      </c>
    </row>
    <row r="41" spans="1:3" ht="16.5" x14ac:dyDescent="0.25">
      <c r="A41" s="4">
        <v>29</v>
      </c>
      <c r="B41" s="4" t="s">
        <v>99</v>
      </c>
      <c r="C41" s="4">
        <v>46</v>
      </c>
    </row>
    <row r="42" spans="1:3" ht="16.5" x14ac:dyDescent="0.25">
      <c r="A42" s="4">
        <v>6</v>
      </c>
      <c r="B42" s="4" t="s">
        <v>76</v>
      </c>
      <c r="C42" s="4">
        <v>122</v>
      </c>
    </row>
    <row r="43" spans="1:3" ht="16.5" x14ac:dyDescent="0.25">
      <c r="A43" s="4">
        <v>5</v>
      </c>
      <c r="B43" s="4" t="s">
        <v>75</v>
      </c>
      <c r="C43" s="4">
        <v>128</v>
      </c>
    </row>
  </sheetData>
  <sortState ref="A4:C43">
    <sortCondition ref="B4:B43"/>
  </sortState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B3" sqref="B3"/>
    </sheetView>
  </sheetViews>
  <sheetFormatPr defaultRowHeight="15" x14ac:dyDescent="0.25"/>
  <cols>
    <col min="2" max="2" width="36.5703125" customWidth="1"/>
  </cols>
  <sheetData>
    <row r="1" spans="1:3" ht="16.5" x14ac:dyDescent="0.25">
      <c r="A1" s="4"/>
      <c r="B1" s="4" t="s">
        <v>69</v>
      </c>
      <c r="C1" s="4" t="s">
        <v>70</v>
      </c>
    </row>
    <row r="2" spans="1:3" ht="16.5" x14ac:dyDescent="0.25">
      <c r="A2" s="4">
        <v>20</v>
      </c>
      <c r="B2" s="4" t="s">
        <v>130</v>
      </c>
      <c r="C2" s="4">
        <v>96</v>
      </c>
    </row>
    <row r="3" spans="1:3" ht="16.5" x14ac:dyDescent="0.25">
      <c r="A3" s="4">
        <v>1</v>
      </c>
      <c r="B3" s="4" t="s">
        <v>111</v>
      </c>
      <c r="C3" s="4">
        <v>154</v>
      </c>
    </row>
    <row r="4" spans="1:3" ht="16.5" x14ac:dyDescent="0.25">
      <c r="A4" s="4">
        <v>8</v>
      </c>
      <c r="B4" s="4" t="s">
        <v>118</v>
      </c>
      <c r="C4" s="4">
        <v>115</v>
      </c>
    </row>
    <row r="5" spans="1:3" ht="16.5" x14ac:dyDescent="0.25">
      <c r="A5" s="4">
        <v>57</v>
      </c>
      <c r="B5" s="4" t="s">
        <v>167</v>
      </c>
      <c r="C5" s="4">
        <v>19</v>
      </c>
    </row>
    <row r="6" spans="1:3" ht="16.5" x14ac:dyDescent="0.25">
      <c r="A6" s="4">
        <v>17</v>
      </c>
      <c r="B6" s="4" t="s">
        <v>127</v>
      </c>
      <c r="C6" s="4">
        <v>102</v>
      </c>
    </row>
    <row r="7" spans="1:3" ht="16.5" x14ac:dyDescent="0.25">
      <c r="A7" s="4">
        <v>41</v>
      </c>
      <c r="B7" s="4" t="s">
        <v>151</v>
      </c>
      <c r="C7" s="4">
        <v>52</v>
      </c>
    </row>
    <row r="8" spans="1:3" ht="16.5" x14ac:dyDescent="0.25">
      <c r="A8" s="4">
        <v>59</v>
      </c>
      <c r="B8" s="4" t="s">
        <v>169</v>
      </c>
      <c r="C8" s="4">
        <v>15</v>
      </c>
    </row>
    <row r="9" spans="1:3" ht="16.5" x14ac:dyDescent="0.25">
      <c r="A9" s="4">
        <v>22</v>
      </c>
      <c r="B9" s="4" t="s">
        <v>132</v>
      </c>
      <c r="C9" s="4">
        <v>94</v>
      </c>
    </row>
    <row r="10" spans="1:3" ht="16.5" x14ac:dyDescent="0.25">
      <c r="A10" s="4">
        <v>30</v>
      </c>
      <c r="B10" s="4" t="s">
        <v>140</v>
      </c>
      <c r="C10" s="4">
        <v>82</v>
      </c>
    </row>
    <row r="11" spans="1:3" ht="16.5" x14ac:dyDescent="0.25">
      <c r="A11" s="4">
        <v>31</v>
      </c>
      <c r="B11" s="4" t="s">
        <v>141</v>
      </c>
      <c r="C11" s="4">
        <v>81</v>
      </c>
    </row>
    <row r="12" spans="1:3" ht="16.5" x14ac:dyDescent="0.25">
      <c r="A12" s="4">
        <v>6</v>
      </c>
      <c r="B12" s="4" t="s">
        <v>116</v>
      </c>
      <c r="C12" s="4">
        <v>120</v>
      </c>
    </row>
    <row r="13" spans="1:3" ht="16.5" x14ac:dyDescent="0.25">
      <c r="A13" s="4">
        <v>25</v>
      </c>
      <c r="B13" s="4" t="s">
        <v>135</v>
      </c>
      <c r="C13" s="4">
        <v>93</v>
      </c>
    </row>
    <row r="14" spans="1:3" ht="16.5" x14ac:dyDescent="0.25">
      <c r="A14" s="4">
        <v>3</v>
      </c>
      <c r="B14" s="4" t="s">
        <v>113</v>
      </c>
      <c r="C14" s="4">
        <v>129</v>
      </c>
    </row>
    <row r="15" spans="1:3" ht="16.5" x14ac:dyDescent="0.25">
      <c r="A15" s="4">
        <v>39</v>
      </c>
      <c r="B15" s="4" t="s">
        <v>149</v>
      </c>
      <c r="C15" s="4">
        <v>60</v>
      </c>
    </row>
    <row r="16" spans="1:3" ht="16.5" x14ac:dyDescent="0.25">
      <c r="A16" s="4">
        <v>18</v>
      </c>
      <c r="B16" s="4" t="s">
        <v>128</v>
      </c>
      <c r="C16" s="4">
        <v>101</v>
      </c>
    </row>
    <row r="17" spans="1:3" ht="16.5" x14ac:dyDescent="0.25">
      <c r="A17" s="4">
        <v>9</v>
      </c>
      <c r="B17" s="4" t="s">
        <v>119</v>
      </c>
      <c r="C17" s="4">
        <v>113</v>
      </c>
    </row>
    <row r="18" spans="1:3" ht="16.5" x14ac:dyDescent="0.25">
      <c r="A18" s="4">
        <v>27</v>
      </c>
      <c r="B18" s="4" t="s">
        <v>137</v>
      </c>
      <c r="C18" s="4">
        <v>89</v>
      </c>
    </row>
    <row r="19" spans="1:3" ht="16.5" x14ac:dyDescent="0.25">
      <c r="A19" s="4">
        <v>33</v>
      </c>
      <c r="B19" s="4" t="s">
        <v>143</v>
      </c>
      <c r="C19" s="4">
        <v>72</v>
      </c>
    </row>
    <row r="20" spans="1:3" ht="16.5" x14ac:dyDescent="0.25">
      <c r="A20" s="4">
        <v>58</v>
      </c>
      <c r="B20" s="4" t="s">
        <v>168</v>
      </c>
      <c r="C20" s="4">
        <v>16</v>
      </c>
    </row>
    <row r="21" spans="1:3" ht="16.5" x14ac:dyDescent="0.25">
      <c r="A21" s="4">
        <v>49</v>
      </c>
      <c r="B21" s="4" t="s">
        <v>159</v>
      </c>
      <c r="C21" s="4">
        <v>32</v>
      </c>
    </row>
    <row r="22" spans="1:3" ht="16.5" x14ac:dyDescent="0.25">
      <c r="A22" s="4">
        <v>40</v>
      </c>
      <c r="B22" s="4" t="s">
        <v>150</v>
      </c>
      <c r="C22" s="4">
        <v>58</v>
      </c>
    </row>
    <row r="23" spans="1:3" ht="16.5" x14ac:dyDescent="0.25">
      <c r="A23" s="4">
        <v>47</v>
      </c>
      <c r="B23" s="4" t="s">
        <v>157</v>
      </c>
      <c r="C23" s="4">
        <v>36</v>
      </c>
    </row>
    <row r="24" spans="1:3" ht="16.5" x14ac:dyDescent="0.25">
      <c r="A24" s="4">
        <v>14</v>
      </c>
      <c r="B24" s="4" t="s">
        <v>124</v>
      </c>
      <c r="C24" s="4">
        <v>109</v>
      </c>
    </row>
    <row r="25" spans="1:3" ht="16.5" x14ac:dyDescent="0.25">
      <c r="A25" s="4">
        <v>45</v>
      </c>
      <c r="B25" s="4" t="s">
        <v>155</v>
      </c>
      <c r="C25" s="4">
        <v>43</v>
      </c>
    </row>
    <row r="26" spans="1:3" ht="16.5" x14ac:dyDescent="0.25">
      <c r="A26" s="4">
        <v>60</v>
      </c>
      <c r="B26" s="4" t="s">
        <v>170</v>
      </c>
      <c r="C26" s="4">
        <v>9</v>
      </c>
    </row>
    <row r="27" spans="1:3" ht="16.5" x14ac:dyDescent="0.25">
      <c r="A27" s="4">
        <v>32</v>
      </c>
      <c r="B27" s="4" t="s">
        <v>142</v>
      </c>
      <c r="C27" s="4">
        <v>76</v>
      </c>
    </row>
    <row r="28" spans="1:3" ht="16.5" x14ac:dyDescent="0.25">
      <c r="A28" s="4">
        <v>35</v>
      </c>
      <c r="B28" s="4" t="s">
        <v>145</v>
      </c>
      <c r="C28" s="4">
        <v>68</v>
      </c>
    </row>
    <row r="29" spans="1:3" ht="16.5" x14ac:dyDescent="0.25">
      <c r="A29" s="4">
        <v>61</v>
      </c>
      <c r="B29" s="4" t="s">
        <v>171</v>
      </c>
      <c r="C29" s="4">
        <v>5</v>
      </c>
    </row>
    <row r="30" spans="1:3" ht="16.5" x14ac:dyDescent="0.25">
      <c r="A30" s="4">
        <v>4</v>
      </c>
      <c r="B30" s="4" t="s">
        <v>114</v>
      </c>
      <c r="C30" s="4">
        <v>125</v>
      </c>
    </row>
    <row r="31" spans="1:3" ht="16.5" x14ac:dyDescent="0.25">
      <c r="A31" s="4">
        <v>55</v>
      </c>
      <c r="B31" s="4" t="s">
        <v>165</v>
      </c>
      <c r="C31" s="4">
        <v>20</v>
      </c>
    </row>
    <row r="32" spans="1:3" ht="16.5" x14ac:dyDescent="0.25">
      <c r="A32" s="4">
        <v>19</v>
      </c>
      <c r="B32" s="4" t="s">
        <v>129</v>
      </c>
      <c r="C32" s="4">
        <v>98</v>
      </c>
    </row>
    <row r="33" spans="1:3" ht="16.5" x14ac:dyDescent="0.25">
      <c r="A33" s="4">
        <v>2</v>
      </c>
      <c r="B33" s="4" t="s">
        <v>112</v>
      </c>
      <c r="C33" s="4">
        <v>146</v>
      </c>
    </row>
    <row r="34" spans="1:3" ht="16.5" x14ac:dyDescent="0.25">
      <c r="A34" s="4">
        <v>16</v>
      </c>
      <c r="B34" s="4" t="s">
        <v>126</v>
      </c>
      <c r="C34" s="4">
        <v>106</v>
      </c>
    </row>
    <row r="35" spans="1:3" ht="16.5" x14ac:dyDescent="0.25">
      <c r="A35" s="4">
        <v>12</v>
      </c>
      <c r="B35" s="4" t="s">
        <v>122</v>
      </c>
      <c r="C35" s="4">
        <v>111</v>
      </c>
    </row>
    <row r="36" spans="1:3" ht="16.5" x14ac:dyDescent="0.25">
      <c r="A36" s="4">
        <v>5</v>
      </c>
      <c r="B36" s="4" t="s">
        <v>115</v>
      </c>
      <c r="C36" s="4">
        <v>123</v>
      </c>
    </row>
    <row r="37" spans="1:3" ht="16.5" x14ac:dyDescent="0.25">
      <c r="A37" s="4">
        <v>28</v>
      </c>
      <c r="B37" s="4" t="s">
        <v>138</v>
      </c>
      <c r="C37" s="4">
        <v>87</v>
      </c>
    </row>
    <row r="38" spans="1:3" ht="16.5" x14ac:dyDescent="0.25">
      <c r="A38" s="4">
        <v>56</v>
      </c>
      <c r="B38" s="4" t="s">
        <v>166</v>
      </c>
      <c r="C38" s="4">
        <v>20</v>
      </c>
    </row>
    <row r="39" spans="1:3" ht="16.5" x14ac:dyDescent="0.25">
      <c r="A39" s="4">
        <v>43</v>
      </c>
      <c r="B39" s="4" t="s">
        <v>153</v>
      </c>
      <c r="C39" s="4">
        <v>46</v>
      </c>
    </row>
    <row r="40" spans="1:3" ht="16.5" x14ac:dyDescent="0.25">
      <c r="A40" s="4">
        <v>11</v>
      </c>
      <c r="B40" s="4" t="s">
        <v>121</v>
      </c>
      <c r="C40" s="4">
        <v>112</v>
      </c>
    </row>
    <row r="41" spans="1:3" ht="16.5" x14ac:dyDescent="0.25">
      <c r="A41" s="4">
        <v>36</v>
      </c>
      <c r="B41" s="4" t="s">
        <v>146</v>
      </c>
      <c r="C41" s="4">
        <v>68</v>
      </c>
    </row>
    <row r="42" spans="1:3" ht="16.5" x14ac:dyDescent="0.25">
      <c r="A42" s="4">
        <v>26</v>
      </c>
      <c r="B42" s="4" t="s">
        <v>136</v>
      </c>
      <c r="C42" s="4">
        <v>93</v>
      </c>
    </row>
    <row r="43" spans="1:3" ht="16.5" x14ac:dyDescent="0.25">
      <c r="A43" s="4">
        <v>29</v>
      </c>
      <c r="B43" s="4" t="s">
        <v>139</v>
      </c>
      <c r="C43" s="4">
        <v>87</v>
      </c>
    </row>
    <row r="44" spans="1:3" ht="16.5" x14ac:dyDescent="0.25">
      <c r="A44" s="4">
        <v>50</v>
      </c>
      <c r="B44" s="4" t="s">
        <v>160</v>
      </c>
      <c r="C44" s="4">
        <v>27</v>
      </c>
    </row>
    <row r="45" spans="1:3" ht="16.5" x14ac:dyDescent="0.25">
      <c r="A45" s="4">
        <v>38</v>
      </c>
      <c r="B45" s="4" t="s">
        <v>148</v>
      </c>
      <c r="C45" s="4">
        <v>63</v>
      </c>
    </row>
    <row r="46" spans="1:3" ht="16.5" x14ac:dyDescent="0.25">
      <c r="A46" s="4">
        <v>48</v>
      </c>
      <c r="B46" s="4" t="s">
        <v>158</v>
      </c>
      <c r="C46" s="4">
        <v>36</v>
      </c>
    </row>
    <row r="47" spans="1:3" ht="16.5" x14ac:dyDescent="0.25">
      <c r="A47" s="4">
        <v>34</v>
      </c>
      <c r="B47" s="4" t="s">
        <v>144</v>
      </c>
      <c r="C47" s="4">
        <v>70</v>
      </c>
    </row>
    <row r="48" spans="1:3" ht="16.5" x14ac:dyDescent="0.25">
      <c r="A48" s="4">
        <v>46</v>
      </c>
      <c r="B48" s="4" t="s">
        <v>156</v>
      </c>
      <c r="C48" s="4">
        <v>43</v>
      </c>
    </row>
    <row r="49" spans="1:3" ht="16.5" x14ac:dyDescent="0.25">
      <c r="A49" s="4">
        <v>37</v>
      </c>
      <c r="B49" s="4" t="s">
        <v>147</v>
      </c>
      <c r="C49" s="4">
        <v>67</v>
      </c>
    </row>
    <row r="50" spans="1:3" ht="16.5" x14ac:dyDescent="0.25">
      <c r="A50" s="4">
        <v>53</v>
      </c>
      <c r="B50" s="4" t="s">
        <v>163</v>
      </c>
      <c r="C50" s="4">
        <v>22</v>
      </c>
    </row>
    <row r="51" spans="1:3" ht="16.5" x14ac:dyDescent="0.25">
      <c r="A51" s="4">
        <v>15</v>
      </c>
      <c r="B51" s="4" t="s">
        <v>125</v>
      </c>
      <c r="C51" s="4">
        <v>108</v>
      </c>
    </row>
    <row r="52" spans="1:3" ht="16.5" x14ac:dyDescent="0.25">
      <c r="A52" s="4">
        <v>54</v>
      </c>
      <c r="B52" s="4" t="s">
        <v>164</v>
      </c>
      <c r="C52" s="4">
        <v>22</v>
      </c>
    </row>
    <row r="53" spans="1:3" ht="16.5" x14ac:dyDescent="0.25">
      <c r="A53" s="4">
        <v>42</v>
      </c>
      <c r="B53" s="4" t="s">
        <v>152</v>
      </c>
      <c r="C53" s="4">
        <v>47</v>
      </c>
    </row>
    <row r="54" spans="1:3" ht="16.5" x14ac:dyDescent="0.25">
      <c r="A54" s="4">
        <v>10</v>
      </c>
      <c r="B54" s="4" t="s">
        <v>120</v>
      </c>
      <c r="C54" s="4">
        <v>113</v>
      </c>
    </row>
    <row r="55" spans="1:3" ht="16.5" x14ac:dyDescent="0.25">
      <c r="A55" s="4">
        <v>13</v>
      </c>
      <c r="B55" s="4" t="s">
        <v>123</v>
      </c>
      <c r="C55" s="4">
        <v>111</v>
      </c>
    </row>
    <row r="56" spans="1:3" ht="16.5" x14ac:dyDescent="0.25">
      <c r="A56" s="4">
        <v>21</v>
      </c>
      <c r="B56" s="4" t="s">
        <v>131</v>
      </c>
      <c r="C56" s="4">
        <v>95</v>
      </c>
    </row>
    <row r="57" spans="1:3" ht="16.5" x14ac:dyDescent="0.25">
      <c r="A57" s="4">
        <v>7</v>
      </c>
      <c r="B57" s="4" t="s">
        <v>117</v>
      </c>
      <c r="C57" s="4">
        <v>118</v>
      </c>
    </row>
    <row r="58" spans="1:3" ht="16.5" x14ac:dyDescent="0.25">
      <c r="A58" s="4">
        <v>52</v>
      </c>
      <c r="B58" s="4" t="s">
        <v>162</v>
      </c>
      <c r="C58" s="4">
        <v>24</v>
      </c>
    </row>
    <row r="59" spans="1:3" ht="16.5" x14ac:dyDescent="0.25">
      <c r="A59" s="4">
        <v>51</v>
      </c>
      <c r="B59" s="4" t="s">
        <v>161</v>
      </c>
      <c r="C59" s="4">
        <v>26</v>
      </c>
    </row>
    <row r="60" spans="1:3" ht="16.5" x14ac:dyDescent="0.25">
      <c r="A60" s="4">
        <v>23</v>
      </c>
      <c r="B60" s="4" t="s">
        <v>133</v>
      </c>
      <c r="C60" s="4">
        <v>94</v>
      </c>
    </row>
    <row r="61" spans="1:3" ht="16.5" x14ac:dyDescent="0.25">
      <c r="A61" s="4">
        <v>24</v>
      </c>
      <c r="B61" s="4" t="s">
        <v>134</v>
      </c>
      <c r="C61" s="4">
        <v>94</v>
      </c>
    </row>
    <row r="62" spans="1:3" ht="16.5" x14ac:dyDescent="0.25">
      <c r="A62" s="4">
        <v>44</v>
      </c>
      <c r="B62" s="4" t="s">
        <v>154</v>
      </c>
      <c r="C62" s="4">
        <v>45</v>
      </c>
    </row>
  </sheetData>
  <sortState ref="A2:C62">
    <sortCondition ref="B2:B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12" sqref="C12:E13"/>
    </sheetView>
  </sheetViews>
  <sheetFormatPr defaultRowHeight="15" x14ac:dyDescent="0.25"/>
  <cols>
    <col min="1" max="1" width="4" style="8" customWidth="1"/>
    <col min="2" max="15" width="10.28515625" customWidth="1"/>
  </cols>
  <sheetData>
    <row r="1" spans="2:14" ht="38.25" customHeight="1" x14ac:dyDescent="0.25">
      <c r="B1" s="64" t="s">
        <v>202</v>
      </c>
      <c r="C1" s="64"/>
      <c r="D1" s="64"/>
      <c r="E1" s="64"/>
      <c r="F1" s="64"/>
      <c r="G1" s="64"/>
      <c r="H1" s="64"/>
      <c r="I1" s="64"/>
      <c r="J1" s="64"/>
      <c r="K1" s="64"/>
    </row>
    <row r="2" spans="2:14" ht="15.75" thickBot="1" x14ac:dyDescent="0.3"/>
    <row r="3" spans="2:14" ht="30" customHeight="1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11">
        <v>6</v>
      </c>
      <c r="L3" s="12" t="s">
        <v>192</v>
      </c>
      <c r="M3" s="10" t="s">
        <v>193</v>
      </c>
      <c r="N3" s="13" t="s">
        <v>194</v>
      </c>
    </row>
    <row r="4" spans="2:14" ht="24" customHeight="1" x14ac:dyDescent="0.25">
      <c r="B4" s="68">
        <v>1</v>
      </c>
      <c r="C4" s="69" t="s">
        <v>51</v>
      </c>
      <c r="D4" s="70"/>
      <c r="E4" s="71"/>
      <c r="F4" s="14" t="s">
        <v>195</v>
      </c>
      <c r="G4" s="15" t="str">
        <f ca="1">INDIRECT(ADDRESS(27,6))&amp;":"&amp;INDIRECT(ADDRESS(27,7))</f>
        <v>10:11</v>
      </c>
      <c r="H4" s="15" t="str">
        <f ca="1">INDIRECT(ADDRESS(31,7))&amp;":"&amp;INDIRECT(ADDRESS(31,6))</f>
        <v>13:0</v>
      </c>
      <c r="I4" s="15" t="str">
        <f ca="1">INDIRECT(ADDRESS(36,6))&amp;":"&amp;INDIRECT(ADDRESS(36,7))</f>
        <v>13:8</v>
      </c>
      <c r="J4" s="15" t="str">
        <f ca="1">INDIRECT(ADDRESS(42,7))&amp;":"&amp;INDIRECT(ADDRESS(42,6))</f>
        <v>10:11</v>
      </c>
      <c r="K4" s="16" t="str">
        <f ca="1">INDIRECT(ADDRESS(20,6))&amp;":"&amp;INDIRECT(ADDRESS(20,7))</f>
        <v>13:8</v>
      </c>
      <c r="L4" s="72">
        <f ca="1">IF(COUNT(F5:K5)=0,"",COUNTIF(F5:K5,"&gt;0")+0.5*COUNTIF(F5:K5,0))</f>
        <v>3</v>
      </c>
      <c r="M4" s="17"/>
      <c r="N4" s="63">
        <v>4</v>
      </c>
    </row>
    <row r="5" spans="2:14" ht="24" customHeight="1" x14ac:dyDescent="0.25">
      <c r="B5" s="58"/>
      <c r="C5" s="48"/>
      <c r="D5" s="49"/>
      <c r="E5" s="50"/>
      <c r="F5" s="18" t="s">
        <v>195</v>
      </c>
      <c r="G5" s="19">
        <f ca="1">IF(LEN(INDIRECT(ADDRESS(ROW()-1, COLUMN())))=1,"",INDIRECT(ADDRESS(27,6))-INDIRECT(ADDRESS(27,7)))</f>
        <v>-1</v>
      </c>
      <c r="H5" s="19">
        <f ca="1">IF(LEN(INDIRECT(ADDRESS(ROW()-1, COLUMN())))=1,"",INDIRECT(ADDRESS(31,7))-INDIRECT(ADDRESS(31,6)))</f>
        <v>13</v>
      </c>
      <c r="I5" s="19">
        <f ca="1">IF(LEN(INDIRECT(ADDRESS(ROW()-1, COLUMN())))=1,"",INDIRECT(ADDRESS(36,6))-INDIRECT(ADDRESS(36,7)))</f>
        <v>5</v>
      </c>
      <c r="J5" s="19">
        <f ca="1">IF(LEN(INDIRECT(ADDRESS(ROW()-1, COLUMN())))=1,"",INDIRECT(ADDRESS(42,7))-INDIRECT(ADDRESS(42,6)))</f>
        <v>-1</v>
      </c>
      <c r="K5" s="20">
        <f ca="1">IF(LEN(INDIRECT(ADDRESS(ROW()-1, COLUMN())))=1,"",INDIRECT(ADDRESS(20,6))-INDIRECT(ADDRESS(20,7)))</f>
        <v>5</v>
      </c>
      <c r="L5" s="54"/>
      <c r="M5" s="19">
        <f ca="1">IF(COUNT(F5:K5)=0,"",SUM(F5:K5))</f>
        <v>21</v>
      </c>
      <c r="N5" s="59"/>
    </row>
    <row r="6" spans="2:14" ht="24" customHeight="1" x14ac:dyDescent="0.25">
      <c r="B6" s="46">
        <v>2</v>
      </c>
      <c r="C6" s="60" t="s">
        <v>44</v>
      </c>
      <c r="D6" s="61"/>
      <c r="E6" s="62"/>
      <c r="F6" s="21" t="str">
        <f ca="1">INDIRECT(ADDRESS(27,7))&amp;":"&amp;INDIRECT(ADDRESS(27,6))</f>
        <v>11:10</v>
      </c>
      <c r="G6" s="22" t="s">
        <v>195</v>
      </c>
      <c r="H6" s="23" t="str">
        <f ca="1">INDIRECT(ADDRESS(37,6))&amp;":"&amp;INDIRECT(ADDRESS(37,7))</f>
        <v>10:13</v>
      </c>
      <c r="I6" s="23" t="str">
        <f ca="1">INDIRECT(ADDRESS(41,7))&amp;":"&amp;INDIRECT(ADDRESS(41,6))</f>
        <v>13:9</v>
      </c>
      <c r="J6" s="23" t="str">
        <f ca="1">INDIRECT(ADDRESS(21,6))&amp;":"&amp;INDIRECT(ADDRESS(21,7))</f>
        <v>13:1</v>
      </c>
      <c r="K6" s="24" t="str">
        <f ca="1">INDIRECT(ADDRESS(30,6))&amp;":"&amp;INDIRECT(ADDRESS(30,7))</f>
        <v>13:11</v>
      </c>
      <c r="L6" s="54">
        <f ca="1">IF(COUNT(F7:K7)=0,"",COUNTIF(F7:K7,"&gt;0")+0.5*COUNTIF(F7:K7,0))</f>
        <v>4</v>
      </c>
      <c r="M6" s="19"/>
      <c r="N6" s="56">
        <v>2</v>
      </c>
    </row>
    <row r="7" spans="2:14" ht="24" customHeight="1" x14ac:dyDescent="0.25">
      <c r="B7" s="58"/>
      <c r="C7" s="60"/>
      <c r="D7" s="61"/>
      <c r="E7" s="62"/>
      <c r="F7" s="25">
        <f ca="1">IF(LEN(INDIRECT(ADDRESS(ROW()-1, COLUMN())))=1,"",INDIRECT(ADDRESS(27,7))-INDIRECT(ADDRESS(27,6)))</f>
        <v>1</v>
      </c>
      <c r="G7" s="26" t="s">
        <v>195</v>
      </c>
      <c r="H7" s="19">
        <f ca="1">IF(LEN(INDIRECT(ADDRESS(ROW()-1, COLUMN())))=1,"",INDIRECT(ADDRESS(37,6))-INDIRECT(ADDRESS(37,7)))</f>
        <v>-3</v>
      </c>
      <c r="I7" s="19">
        <f ca="1">IF(LEN(INDIRECT(ADDRESS(ROW()-1, COLUMN())))=1,"",INDIRECT(ADDRESS(41,7))-INDIRECT(ADDRESS(41,6)))</f>
        <v>4</v>
      </c>
      <c r="J7" s="19">
        <f ca="1">IF(LEN(INDIRECT(ADDRESS(ROW()-1, COLUMN())))=1,"",INDIRECT(ADDRESS(21,6))-INDIRECT(ADDRESS(21,7)))</f>
        <v>12</v>
      </c>
      <c r="K7" s="20">
        <f ca="1">IF(LEN(INDIRECT(ADDRESS(ROW()-1, COLUMN())))=1,"",INDIRECT(ADDRESS(30,6))-INDIRECT(ADDRESS(30,7)))</f>
        <v>2</v>
      </c>
      <c r="L7" s="54"/>
      <c r="M7" s="19">
        <f ca="1">IF(COUNT(F7:K7)=0,"",SUM(F7:K7))</f>
        <v>16</v>
      </c>
      <c r="N7" s="59"/>
    </row>
    <row r="8" spans="2:14" ht="24" customHeight="1" x14ac:dyDescent="0.25">
      <c r="B8" s="46">
        <v>3</v>
      </c>
      <c r="C8" s="60" t="s">
        <v>47</v>
      </c>
      <c r="D8" s="61"/>
      <c r="E8" s="62"/>
      <c r="F8" s="21" t="str">
        <f ca="1">INDIRECT(ADDRESS(31,6))&amp;":"&amp;INDIRECT(ADDRESS(31,7))</f>
        <v>0:13</v>
      </c>
      <c r="G8" s="23" t="str">
        <f ca="1">INDIRECT(ADDRESS(37,7))&amp;":"&amp;INDIRECT(ADDRESS(37,6))</f>
        <v>13:10</v>
      </c>
      <c r="H8" s="22" t="s">
        <v>195</v>
      </c>
      <c r="I8" s="23" t="str">
        <f ca="1">INDIRECT(ADDRESS(22,6))&amp;":"&amp;INDIRECT(ADDRESS(22,7))</f>
        <v>9:8</v>
      </c>
      <c r="J8" s="23" t="str">
        <f ca="1">INDIRECT(ADDRESS(26,7))&amp;":"&amp;INDIRECT(ADDRESS(26,6))</f>
        <v>9:8</v>
      </c>
      <c r="K8" s="24" t="str">
        <f ca="1">INDIRECT(ADDRESS(40,6))&amp;":"&amp;INDIRECT(ADDRESS(40,7))</f>
        <v>13:9</v>
      </c>
      <c r="L8" s="54">
        <f ca="1">IF(COUNT(F9:K9)=0,"",COUNTIF(F9:K9,"&gt;0")+0.5*COUNTIF(F9:K9,0))</f>
        <v>4</v>
      </c>
      <c r="M8" s="19"/>
      <c r="N8" s="56">
        <v>1</v>
      </c>
    </row>
    <row r="9" spans="2:14" ht="24" customHeight="1" x14ac:dyDescent="0.25">
      <c r="B9" s="58"/>
      <c r="C9" s="60"/>
      <c r="D9" s="61"/>
      <c r="E9" s="62"/>
      <c r="F9" s="25">
        <f ca="1">IF(LEN(INDIRECT(ADDRESS(ROW()-1, COLUMN())))=1,"",INDIRECT(ADDRESS(31,6))-INDIRECT(ADDRESS(31,7)))</f>
        <v>-13</v>
      </c>
      <c r="G9" s="19">
        <f ca="1">IF(LEN(INDIRECT(ADDRESS(ROW()-1, COLUMN())))=1,"",INDIRECT(ADDRESS(37,7))-INDIRECT(ADDRESS(37,6)))</f>
        <v>3</v>
      </c>
      <c r="H9" s="26" t="s">
        <v>195</v>
      </c>
      <c r="I9" s="19">
        <f ca="1">IF(LEN(INDIRECT(ADDRESS(ROW()-1, COLUMN())))=1,"",INDIRECT(ADDRESS(22,6))-INDIRECT(ADDRESS(22,7)))</f>
        <v>1</v>
      </c>
      <c r="J9" s="19">
        <f ca="1">IF(LEN(INDIRECT(ADDRESS(ROW()-1, COLUMN())))=1,"",INDIRECT(ADDRESS(26,7))-INDIRECT(ADDRESS(26,6)))</f>
        <v>1</v>
      </c>
      <c r="K9" s="20">
        <f ca="1">IF(LEN(INDIRECT(ADDRESS(ROW()-1, COLUMN())))=1,"",INDIRECT(ADDRESS(40,6))-INDIRECT(ADDRESS(40,7)))</f>
        <v>4</v>
      </c>
      <c r="L9" s="54"/>
      <c r="M9" s="19">
        <f ca="1">IF(COUNT(F9:K9)=0,"",SUM(F9:K9))</f>
        <v>-4</v>
      </c>
      <c r="N9" s="59"/>
    </row>
    <row r="10" spans="2:14" ht="24" customHeight="1" x14ac:dyDescent="0.25">
      <c r="B10" s="46">
        <v>4</v>
      </c>
      <c r="C10" s="48" t="s">
        <v>187</v>
      </c>
      <c r="D10" s="49"/>
      <c r="E10" s="50"/>
      <c r="F10" s="21" t="str">
        <f ca="1">INDIRECT(ADDRESS(36,7))&amp;":"&amp;INDIRECT(ADDRESS(36,6))</f>
        <v>8:13</v>
      </c>
      <c r="G10" s="23" t="str">
        <f ca="1">INDIRECT(ADDRESS(41,6))&amp;":"&amp;INDIRECT(ADDRESS(41,7))</f>
        <v>9:13</v>
      </c>
      <c r="H10" s="23" t="str">
        <f ca="1">INDIRECT(ADDRESS(22,7))&amp;":"&amp;INDIRECT(ADDRESS(22,6))</f>
        <v>8:9</v>
      </c>
      <c r="I10" s="22" t="s">
        <v>195</v>
      </c>
      <c r="J10" s="23" t="str">
        <f ca="1">INDIRECT(ADDRESS(32,6))&amp;":"&amp;INDIRECT(ADDRESS(32,7))</f>
        <v>5:11</v>
      </c>
      <c r="K10" s="24" t="str">
        <f ca="1">INDIRECT(ADDRESS(25,7))&amp;":"&amp;INDIRECT(ADDRESS(25,6))</f>
        <v>3:13</v>
      </c>
      <c r="L10" s="54">
        <f ca="1">IF(COUNT(F11:K11)=0,"",COUNTIF(F11:K11,"&gt;0")+0.5*COUNTIF(F11:K11,0))</f>
        <v>0</v>
      </c>
      <c r="M10" s="19"/>
      <c r="N10" s="56">
        <v>6</v>
      </c>
    </row>
    <row r="11" spans="2:14" ht="24" customHeight="1" x14ac:dyDescent="0.25">
      <c r="B11" s="58"/>
      <c r="C11" s="48"/>
      <c r="D11" s="49"/>
      <c r="E11" s="50"/>
      <c r="F11" s="25">
        <f ca="1">IF(LEN(INDIRECT(ADDRESS(ROW()-1, COLUMN())))=1,"",INDIRECT(ADDRESS(36,7))-INDIRECT(ADDRESS(36,6)))</f>
        <v>-5</v>
      </c>
      <c r="G11" s="19">
        <f ca="1">IF(LEN(INDIRECT(ADDRESS(ROW()-1, COLUMN())))=1,"",INDIRECT(ADDRESS(41,6))-INDIRECT(ADDRESS(41,7)))</f>
        <v>-4</v>
      </c>
      <c r="H11" s="19">
        <f ca="1">IF(LEN(INDIRECT(ADDRESS(ROW()-1, COLUMN())))=1,"",INDIRECT(ADDRESS(22,7))-INDIRECT(ADDRESS(22,6)))</f>
        <v>-1</v>
      </c>
      <c r="I11" s="26" t="s">
        <v>195</v>
      </c>
      <c r="J11" s="19">
        <f ca="1">IF(LEN(INDIRECT(ADDRESS(ROW()-1, COLUMN())))=1,"",INDIRECT(ADDRESS(32,6))-INDIRECT(ADDRESS(32,7)))</f>
        <v>-6</v>
      </c>
      <c r="K11" s="20">
        <f ca="1">IF(LEN(INDIRECT(ADDRESS(ROW()-1, COLUMN())))=1,"",INDIRECT(ADDRESS(25,7))-INDIRECT(ADDRESS(25,6)))</f>
        <v>-10</v>
      </c>
      <c r="L11" s="54"/>
      <c r="M11" s="19">
        <f ca="1">IF(COUNT(F11:K11)=0,"",SUM(F11:K11))</f>
        <v>-26</v>
      </c>
      <c r="N11" s="59"/>
    </row>
    <row r="12" spans="2:14" ht="24" customHeight="1" x14ac:dyDescent="0.25">
      <c r="B12" s="46">
        <v>5</v>
      </c>
      <c r="C12" s="48" t="s">
        <v>210</v>
      </c>
      <c r="D12" s="49"/>
      <c r="E12" s="50"/>
      <c r="F12" s="21" t="str">
        <f ca="1">INDIRECT(ADDRESS(42,6))&amp;":"&amp;INDIRECT(ADDRESS(42,7))</f>
        <v>11:10</v>
      </c>
      <c r="G12" s="23" t="str">
        <f ca="1">INDIRECT(ADDRESS(21,7))&amp;":"&amp;INDIRECT(ADDRESS(21,6))</f>
        <v>1:13</v>
      </c>
      <c r="H12" s="23" t="str">
        <f ca="1">INDIRECT(ADDRESS(26,6))&amp;":"&amp;INDIRECT(ADDRESS(26,7))</f>
        <v>8:9</v>
      </c>
      <c r="I12" s="23" t="str">
        <f ca="1">INDIRECT(ADDRESS(32,7))&amp;":"&amp;INDIRECT(ADDRESS(32,6))</f>
        <v>11:5</v>
      </c>
      <c r="J12" s="22" t="s">
        <v>195</v>
      </c>
      <c r="K12" s="24" t="str">
        <f ca="1">INDIRECT(ADDRESS(35,7))&amp;":"&amp;INDIRECT(ADDRESS(35,6))</f>
        <v>13:2</v>
      </c>
      <c r="L12" s="54">
        <f ca="1">IF(COUNT(F13:K13)=0,"",COUNTIF(F13:K13,"&gt;0")+0.5*COUNTIF(F13:K13,0))</f>
        <v>3</v>
      </c>
      <c r="M12" s="19"/>
      <c r="N12" s="56">
        <v>3</v>
      </c>
    </row>
    <row r="13" spans="2:14" ht="24" customHeight="1" x14ac:dyDescent="0.25">
      <c r="B13" s="58"/>
      <c r="C13" s="48"/>
      <c r="D13" s="49"/>
      <c r="E13" s="50"/>
      <c r="F13" s="25">
        <f ca="1">IF(LEN(INDIRECT(ADDRESS(ROW()-1, COLUMN())))=1,"",INDIRECT(ADDRESS(42,6))-INDIRECT(ADDRESS(42,7)))</f>
        <v>1</v>
      </c>
      <c r="G13" s="19">
        <f ca="1">IF(LEN(INDIRECT(ADDRESS(ROW()-1, COLUMN())))=1,"",INDIRECT(ADDRESS(21,7))-INDIRECT(ADDRESS(21,6)))</f>
        <v>-12</v>
      </c>
      <c r="H13" s="19">
        <f ca="1">IF(LEN(INDIRECT(ADDRESS(ROW()-1, COLUMN())))=1,"",INDIRECT(ADDRESS(26,6))-INDIRECT(ADDRESS(26,7)))</f>
        <v>-1</v>
      </c>
      <c r="I13" s="19">
        <f ca="1">IF(LEN(INDIRECT(ADDRESS(ROW()-1, COLUMN())))=1,"",INDIRECT(ADDRESS(32,7))-INDIRECT(ADDRESS(32,6)))</f>
        <v>6</v>
      </c>
      <c r="J13" s="26" t="s">
        <v>195</v>
      </c>
      <c r="K13" s="20">
        <f ca="1">IF(LEN(INDIRECT(ADDRESS(ROW()-1, COLUMN())))=1,"",INDIRECT(ADDRESS(35,7))-INDIRECT(ADDRESS(35,6)))</f>
        <v>11</v>
      </c>
      <c r="L13" s="54"/>
      <c r="M13" s="19">
        <f ca="1">IF(COUNT(F13:K13)=0,"",SUM(F13:K13))</f>
        <v>5</v>
      </c>
      <c r="N13" s="59"/>
    </row>
    <row r="14" spans="2:14" ht="24" customHeight="1" x14ac:dyDescent="0.25">
      <c r="B14" s="46">
        <v>6</v>
      </c>
      <c r="C14" s="48" t="s">
        <v>182</v>
      </c>
      <c r="D14" s="49"/>
      <c r="E14" s="50"/>
      <c r="F14" s="21" t="str">
        <f ca="1">INDIRECT(ADDRESS(20,7))&amp;":"&amp;INDIRECT(ADDRESS(20,6))</f>
        <v>8:13</v>
      </c>
      <c r="G14" s="23" t="str">
        <f ca="1">INDIRECT(ADDRESS(30,7))&amp;":"&amp;INDIRECT(ADDRESS(30,6))</f>
        <v>11:13</v>
      </c>
      <c r="H14" s="23" t="str">
        <f ca="1">INDIRECT(ADDRESS(40,7))&amp;":"&amp;INDIRECT(ADDRESS(40,6))</f>
        <v>9:13</v>
      </c>
      <c r="I14" s="23" t="str">
        <f ca="1">INDIRECT(ADDRESS(25,6))&amp;":"&amp;INDIRECT(ADDRESS(25,7))</f>
        <v>13:3</v>
      </c>
      <c r="J14" s="23" t="str">
        <f ca="1">INDIRECT(ADDRESS(35,6))&amp;":"&amp;INDIRECT(ADDRESS(35,7))</f>
        <v>2:13</v>
      </c>
      <c r="K14" s="27" t="s">
        <v>195</v>
      </c>
      <c r="L14" s="54">
        <f ca="1">IF(COUNT(F15:K15)=0,"",COUNTIF(F15:K15,"&gt;0")+0.5*COUNTIF(F15:K15,0))</f>
        <v>1</v>
      </c>
      <c r="M14" s="19"/>
      <c r="N14" s="56">
        <v>5</v>
      </c>
    </row>
    <row r="15" spans="2:14" ht="24" customHeight="1" thickBot="1" x14ac:dyDescent="0.3">
      <c r="B15" s="47"/>
      <c r="C15" s="51"/>
      <c r="D15" s="52"/>
      <c r="E15" s="53"/>
      <c r="F15" s="28">
        <f ca="1">IF(LEN(INDIRECT(ADDRESS(ROW()-1, COLUMN())))=1,"",INDIRECT(ADDRESS(20,7))-INDIRECT(ADDRESS(20,6)))</f>
        <v>-5</v>
      </c>
      <c r="G15" s="29">
        <f ca="1">IF(LEN(INDIRECT(ADDRESS(ROW()-1, COLUMN())))=1,"",INDIRECT(ADDRESS(30,7))-INDIRECT(ADDRESS(30,6)))</f>
        <v>-2</v>
      </c>
      <c r="H15" s="29">
        <f ca="1">IF(LEN(INDIRECT(ADDRESS(ROW()-1, COLUMN())))=1,"",INDIRECT(ADDRESS(40,7))-INDIRECT(ADDRESS(40,6)))</f>
        <v>-4</v>
      </c>
      <c r="I15" s="29">
        <f ca="1">IF(LEN(INDIRECT(ADDRESS(ROW()-1, COLUMN())))=1,"",INDIRECT(ADDRESS(25,6))-INDIRECT(ADDRESS(25,7)))</f>
        <v>10</v>
      </c>
      <c r="J15" s="29">
        <f ca="1">IF(LEN(INDIRECT(ADDRESS(ROW()-1, COLUMN())))=1,"",INDIRECT(ADDRESS(35,6))-INDIRECT(ADDRESS(35,7)))</f>
        <v>-11</v>
      </c>
      <c r="K15" s="30" t="s">
        <v>195</v>
      </c>
      <c r="L15" s="55"/>
      <c r="M15" s="29">
        <f ca="1">IF(COUNT(F15:K15)=0,"",SUM(F15:K15))</f>
        <v>-12</v>
      </c>
      <c r="N15" s="57"/>
    </row>
    <row r="19" spans="1:13" s="33" customFormat="1" ht="30" customHeight="1" thickBot="1" x14ac:dyDescent="0.4">
      <c r="A19" s="31"/>
      <c r="B19" s="45" t="s">
        <v>196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3" s="33" customFormat="1" ht="30" customHeight="1" thickBot="1" x14ac:dyDescent="0.4">
      <c r="A20" s="31"/>
      <c r="B20" s="34">
        <v>1</v>
      </c>
      <c r="C20" s="42" t="str">
        <f ca="1">IF(ISBLANK(INDIRECT(ADDRESS(B20*2+2,3))),"",INDIRECT(ADDRESS(B20*2+2,3)))</f>
        <v>Бейгер</v>
      </c>
      <c r="D20" s="42"/>
      <c r="E20" s="43"/>
      <c r="F20" s="35">
        <v>13</v>
      </c>
      <c r="G20" s="36">
        <v>8</v>
      </c>
      <c r="H20" s="44" t="str">
        <f ca="1">IF(ISBLANK(INDIRECT(ADDRESS(K20*2+2,3))),"",INDIRECT(ADDRESS(K20*2+2,3)))</f>
        <v>Ариетта</v>
      </c>
      <c r="I20" s="42"/>
      <c r="J20" s="42"/>
      <c r="K20" s="34">
        <v>6</v>
      </c>
      <c r="L20" s="37" t="s">
        <v>197</v>
      </c>
      <c r="M20" s="32">
        <v>1</v>
      </c>
    </row>
    <row r="21" spans="1:13" s="33" customFormat="1" ht="30" customHeight="1" thickBot="1" x14ac:dyDescent="0.4">
      <c r="A21" s="31"/>
      <c r="B21" s="34">
        <v>2</v>
      </c>
      <c r="C21" s="42" t="str">
        <f ca="1">IF(ISBLANK(INDIRECT(ADDRESS(B21*2+2,3))),"",INDIRECT(ADDRESS(B21*2+2,3)))</f>
        <v>Артюхина</v>
      </c>
      <c r="D21" s="42"/>
      <c r="E21" s="43"/>
      <c r="F21" s="35">
        <v>13</v>
      </c>
      <c r="G21" s="36">
        <v>1</v>
      </c>
      <c r="H21" s="44" t="str">
        <f ca="1">IF(ISBLANK(INDIRECT(ADDRESS(K21*2+2,3))),"",INDIRECT(ADDRESS(K21*2+2,3)))</f>
        <v>Кузнецова</v>
      </c>
      <c r="I21" s="42"/>
      <c r="J21" s="42"/>
      <c r="K21" s="34">
        <v>5</v>
      </c>
      <c r="L21" s="37" t="s">
        <v>197</v>
      </c>
      <c r="M21" s="32">
        <v>2</v>
      </c>
    </row>
    <row r="22" spans="1:13" s="33" customFormat="1" ht="30" customHeight="1" thickBot="1" x14ac:dyDescent="0.4">
      <c r="A22" s="31"/>
      <c r="B22" s="34">
        <v>3</v>
      </c>
      <c r="C22" s="42" t="str">
        <f ca="1">IF(ISBLANK(INDIRECT(ADDRESS(B22*2+2,3))),"",INDIRECT(ADDRESS(B22*2+2,3)))</f>
        <v>Ли</v>
      </c>
      <c r="D22" s="42"/>
      <c r="E22" s="43"/>
      <c r="F22" s="35">
        <v>9</v>
      </c>
      <c r="G22" s="36">
        <v>8</v>
      </c>
      <c r="H22" s="44" t="str">
        <f ca="1">IF(ISBLANK(INDIRECT(ADDRESS(K22*2+2,3))),"",INDIRECT(ADDRESS(K22*2+2,3)))</f>
        <v>Смирнова</v>
      </c>
      <c r="I22" s="42"/>
      <c r="J22" s="42"/>
      <c r="K22" s="34">
        <v>4</v>
      </c>
      <c r="L22" s="37" t="s">
        <v>197</v>
      </c>
      <c r="M22" s="32">
        <v>3</v>
      </c>
    </row>
    <row r="23" spans="1:13" s="33" customFormat="1" ht="30" customHeight="1" x14ac:dyDescent="0.35">
      <c r="A23" s="31"/>
      <c r="M23" s="38"/>
    </row>
    <row r="24" spans="1:13" s="33" customFormat="1" ht="30" customHeight="1" thickBot="1" x14ac:dyDescent="0.4">
      <c r="A24" s="31"/>
      <c r="B24" s="45" t="s">
        <v>198</v>
      </c>
      <c r="C24" s="45"/>
      <c r="D24" s="45"/>
      <c r="E24" s="45"/>
      <c r="F24" s="45"/>
      <c r="G24" s="45"/>
      <c r="H24" s="45"/>
      <c r="I24" s="45"/>
      <c r="J24" s="45"/>
      <c r="K24" s="45"/>
      <c r="M24" s="38"/>
    </row>
    <row r="25" spans="1:13" s="33" customFormat="1" ht="30" customHeight="1" thickBot="1" x14ac:dyDescent="0.4">
      <c r="A25" s="31"/>
      <c r="B25" s="34">
        <v>6</v>
      </c>
      <c r="C25" s="42" t="str">
        <f ca="1">IF(ISBLANK(INDIRECT(ADDRESS(B25*2+2,3))),"",INDIRECT(ADDRESS(B25*2+2,3)))</f>
        <v>Ариетта</v>
      </c>
      <c r="D25" s="42"/>
      <c r="E25" s="43"/>
      <c r="F25" s="35">
        <v>13</v>
      </c>
      <c r="G25" s="36">
        <v>3</v>
      </c>
      <c r="H25" s="44" t="str">
        <f ca="1">IF(ISBLANK(INDIRECT(ADDRESS(K25*2+2,3))),"",INDIRECT(ADDRESS(K25*2+2,3)))</f>
        <v>Смирнова</v>
      </c>
      <c r="I25" s="42"/>
      <c r="J25" s="42"/>
      <c r="K25" s="34">
        <v>4</v>
      </c>
      <c r="L25" s="37" t="s">
        <v>197</v>
      </c>
      <c r="M25" s="32">
        <v>5</v>
      </c>
    </row>
    <row r="26" spans="1:13" s="33" customFormat="1" ht="30" customHeight="1" thickBot="1" x14ac:dyDescent="0.4">
      <c r="A26" s="31"/>
      <c r="B26" s="34">
        <v>5</v>
      </c>
      <c r="C26" s="42" t="str">
        <f ca="1">IF(ISBLANK(INDIRECT(ADDRESS(B26*2+2,3))),"",INDIRECT(ADDRESS(B26*2+2,3)))</f>
        <v>Кузнецова</v>
      </c>
      <c r="D26" s="42"/>
      <c r="E26" s="43"/>
      <c r="F26" s="35">
        <v>8</v>
      </c>
      <c r="G26" s="36">
        <v>9</v>
      </c>
      <c r="H26" s="44" t="str">
        <f ca="1">IF(ISBLANK(INDIRECT(ADDRESS(K26*2+2,3))),"",INDIRECT(ADDRESS(K26*2+2,3)))</f>
        <v>Ли</v>
      </c>
      <c r="I26" s="42"/>
      <c r="J26" s="42"/>
      <c r="K26" s="34">
        <v>3</v>
      </c>
      <c r="L26" s="37" t="s">
        <v>197</v>
      </c>
      <c r="M26" s="32">
        <v>6</v>
      </c>
    </row>
    <row r="27" spans="1:13" s="33" customFormat="1" ht="30" customHeight="1" thickBot="1" x14ac:dyDescent="0.4">
      <c r="A27" s="31"/>
      <c r="B27" s="34">
        <v>1</v>
      </c>
      <c r="C27" s="42" t="str">
        <f ca="1">IF(ISBLANK(INDIRECT(ADDRESS(B27*2+2,3))),"",INDIRECT(ADDRESS(B27*2+2,3)))</f>
        <v>Бейгер</v>
      </c>
      <c r="D27" s="42"/>
      <c r="E27" s="43"/>
      <c r="F27" s="35">
        <v>10</v>
      </c>
      <c r="G27" s="36">
        <v>11</v>
      </c>
      <c r="H27" s="44" t="str">
        <f ca="1">IF(ISBLANK(INDIRECT(ADDRESS(K27*2+2,3))),"",INDIRECT(ADDRESS(K27*2+2,3)))</f>
        <v>Артюхина</v>
      </c>
      <c r="I27" s="42"/>
      <c r="J27" s="42"/>
      <c r="K27" s="34">
        <v>2</v>
      </c>
      <c r="L27" s="37" t="s">
        <v>197</v>
      </c>
      <c r="M27" s="32">
        <v>4</v>
      </c>
    </row>
    <row r="28" spans="1:13" s="33" customFormat="1" ht="30" customHeight="1" x14ac:dyDescent="0.35">
      <c r="A28" s="31"/>
      <c r="M28" s="38"/>
    </row>
    <row r="29" spans="1:13" s="33" customFormat="1" ht="30" customHeight="1" thickBot="1" x14ac:dyDescent="0.4">
      <c r="A29" s="31"/>
      <c r="B29" s="45" t="s">
        <v>199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30" customHeight="1" thickBot="1" x14ac:dyDescent="0.4">
      <c r="A30" s="31"/>
      <c r="B30" s="34">
        <v>2</v>
      </c>
      <c r="C30" s="42" t="str">
        <f ca="1">IF(ISBLANK(INDIRECT(ADDRESS(B30*2+2,3))),"",INDIRECT(ADDRESS(B30*2+2,3)))</f>
        <v>Артюхина</v>
      </c>
      <c r="D30" s="42"/>
      <c r="E30" s="43"/>
      <c r="F30" s="35">
        <v>13</v>
      </c>
      <c r="G30" s="36">
        <v>11</v>
      </c>
      <c r="H30" s="44" t="str">
        <f ca="1">IF(ISBLANK(INDIRECT(ADDRESS(K30*2+2,3))),"",INDIRECT(ADDRESS(K30*2+2,3)))</f>
        <v>Ариетта</v>
      </c>
      <c r="I30" s="42"/>
      <c r="J30" s="42"/>
      <c r="K30" s="34">
        <v>6</v>
      </c>
      <c r="L30" s="37" t="s">
        <v>197</v>
      </c>
      <c r="M30" s="32">
        <v>7</v>
      </c>
    </row>
    <row r="31" spans="1:13" s="33" customFormat="1" ht="30" customHeight="1" thickBot="1" x14ac:dyDescent="0.4">
      <c r="A31" s="31"/>
      <c r="B31" s="34">
        <v>3</v>
      </c>
      <c r="C31" s="42" t="str">
        <f ca="1">IF(ISBLANK(INDIRECT(ADDRESS(B31*2+2,3))),"",INDIRECT(ADDRESS(B31*2+2,3)))</f>
        <v>Ли</v>
      </c>
      <c r="D31" s="42"/>
      <c r="E31" s="43"/>
      <c r="F31" s="35">
        <v>0</v>
      </c>
      <c r="G31" s="36">
        <v>13</v>
      </c>
      <c r="H31" s="44" t="str">
        <f ca="1">IF(ISBLANK(INDIRECT(ADDRESS(K31*2+2,3))),"",INDIRECT(ADDRESS(K31*2+2,3)))</f>
        <v>Бейгер</v>
      </c>
      <c r="I31" s="42"/>
      <c r="J31" s="42"/>
      <c r="K31" s="34">
        <v>1</v>
      </c>
      <c r="L31" s="37" t="s">
        <v>197</v>
      </c>
      <c r="M31" s="32">
        <v>8</v>
      </c>
    </row>
    <row r="32" spans="1:13" s="33" customFormat="1" ht="30" customHeight="1" thickBot="1" x14ac:dyDescent="0.4">
      <c r="A32" s="31"/>
      <c r="B32" s="34">
        <v>4</v>
      </c>
      <c r="C32" s="42" t="str">
        <f ca="1">IF(ISBLANK(INDIRECT(ADDRESS(B32*2+2,3))),"",INDIRECT(ADDRESS(B32*2+2,3)))</f>
        <v>Смирнова</v>
      </c>
      <c r="D32" s="42"/>
      <c r="E32" s="43"/>
      <c r="F32" s="35">
        <v>5</v>
      </c>
      <c r="G32" s="36">
        <v>11</v>
      </c>
      <c r="H32" s="44" t="str">
        <f ca="1">IF(ISBLANK(INDIRECT(ADDRESS(K32*2+2,3))),"",INDIRECT(ADDRESS(K32*2+2,3)))</f>
        <v>Кузнецова</v>
      </c>
      <c r="I32" s="42"/>
      <c r="J32" s="42"/>
      <c r="K32" s="34">
        <v>5</v>
      </c>
      <c r="L32" s="37" t="s">
        <v>197</v>
      </c>
      <c r="M32" s="32">
        <v>9</v>
      </c>
    </row>
    <row r="33" spans="1:13" s="33" customFormat="1" ht="30" customHeight="1" x14ac:dyDescent="0.35">
      <c r="A33" s="31"/>
      <c r="M33" s="38"/>
    </row>
    <row r="34" spans="1:13" s="33" customFormat="1" ht="30" customHeight="1" thickBot="1" x14ac:dyDescent="0.4">
      <c r="A34" s="31"/>
      <c r="B34" s="45" t="s">
        <v>200</v>
      </c>
      <c r="C34" s="45"/>
      <c r="D34" s="45"/>
      <c r="E34" s="45"/>
      <c r="F34" s="45"/>
      <c r="G34" s="45"/>
      <c r="H34" s="45"/>
      <c r="I34" s="45"/>
      <c r="J34" s="45"/>
      <c r="K34" s="45"/>
      <c r="M34" s="38"/>
    </row>
    <row r="35" spans="1:13" s="33" customFormat="1" ht="30" customHeight="1" thickBot="1" x14ac:dyDescent="0.4">
      <c r="A35" s="31"/>
      <c r="B35" s="34">
        <v>6</v>
      </c>
      <c r="C35" s="42" t="str">
        <f ca="1">IF(ISBLANK(INDIRECT(ADDRESS(B35*2+2,3))),"",INDIRECT(ADDRESS(B35*2+2,3)))</f>
        <v>Ариетта</v>
      </c>
      <c r="D35" s="42"/>
      <c r="E35" s="43"/>
      <c r="F35" s="35">
        <v>2</v>
      </c>
      <c r="G35" s="36">
        <v>13</v>
      </c>
      <c r="H35" s="44" t="str">
        <f ca="1">IF(ISBLANK(INDIRECT(ADDRESS(K35*2+2,3))),"",INDIRECT(ADDRESS(K35*2+2,3)))</f>
        <v>Кузнецова</v>
      </c>
      <c r="I35" s="42"/>
      <c r="J35" s="42"/>
      <c r="K35" s="34">
        <v>5</v>
      </c>
      <c r="L35" s="37" t="s">
        <v>197</v>
      </c>
      <c r="M35" s="32">
        <v>1</v>
      </c>
    </row>
    <row r="36" spans="1:13" s="33" customFormat="1" ht="30" customHeight="1" thickBot="1" x14ac:dyDescent="0.4">
      <c r="A36" s="31"/>
      <c r="B36" s="34">
        <v>1</v>
      </c>
      <c r="C36" s="42" t="str">
        <f ca="1">IF(ISBLANK(INDIRECT(ADDRESS(B36*2+2,3))),"",INDIRECT(ADDRESS(B36*2+2,3)))</f>
        <v>Бейгер</v>
      </c>
      <c r="D36" s="42"/>
      <c r="E36" s="43"/>
      <c r="F36" s="35">
        <v>13</v>
      </c>
      <c r="G36" s="36">
        <v>8</v>
      </c>
      <c r="H36" s="44" t="str">
        <f ca="1">IF(ISBLANK(INDIRECT(ADDRESS(K36*2+2,3))),"",INDIRECT(ADDRESS(K36*2+2,3)))</f>
        <v>Смирнова</v>
      </c>
      <c r="I36" s="42"/>
      <c r="J36" s="42"/>
      <c r="K36" s="34">
        <v>4</v>
      </c>
      <c r="L36" s="37" t="s">
        <v>197</v>
      </c>
      <c r="M36" s="32">
        <v>2</v>
      </c>
    </row>
    <row r="37" spans="1:13" s="33" customFormat="1" ht="30" customHeight="1" thickBot="1" x14ac:dyDescent="0.4">
      <c r="A37" s="31"/>
      <c r="B37" s="34">
        <v>2</v>
      </c>
      <c r="C37" s="42" t="str">
        <f ca="1">IF(ISBLANK(INDIRECT(ADDRESS(B37*2+2,3))),"",INDIRECT(ADDRESS(B37*2+2,3)))</f>
        <v>Артюхина</v>
      </c>
      <c r="D37" s="42"/>
      <c r="E37" s="43"/>
      <c r="F37" s="35">
        <v>10</v>
      </c>
      <c r="G37" s="36">
        <v>13</v>
      </c>
      <c r="H37" s="44" t="str">
        <f ca="1">IF(ISBLANK(INDIRECT(ADDRESS(K37*2+2,3))),"",INDIRECT(ADDRESS(K37*2+2,3)))</f>
        <v>Ли</v>
      </c>
      <c r="I37" s="42"/>
      <c r="J37" s="42"/>
      <c r="K37" s="34">
        <v>3</v>
      </c>
      <c r="L37" s="37" t="s">
        <v>197</v>
      </c>
      <c r="M37" s="32">
        <v>10</v>
      </c>
    </row>
    <row r="38" spans="1:13" s="33" customFormat="1" ht="30" customHeight="1" x14ac:dyDescent="0.35">
      <c r="A38" s="31"/>
      <c r="M38" s="38"/>
    </row>
    <row r="39" spans="1:13" s="33" customFormat="1" ht="30" customHeight="1" thickBot="1" x14ac:dyDescent="0.4">
      <c r="A39" s="31"/>
      <c r="B39" s="45" t="s">
        <v>201</v>
      </c>
      <c r="C39" s="45"/>
      <c r="D39" s="45"/>
      <c r="E39" s="45"/>
      <c r="F39" s="45"/>
      <c r="G39" s="45"/>
      <c r="H39" s="45"/>
      <c r="I39" s="45"/>
      <c r="J39" s="45"/>
      <c r="K39" s="45"/>
      <c r="M39" s="38"/>
    </row>
    <row r="40" spans="1:13" s="33" customFormat="1" ht="30" customHeight="1" thickBot="1" x14ac:dyDescent="0.4">
      <c r="A40" s="31"/>
      <c r="B40" s="34">
        <v>3</v>
      </c>
      <c r="C40" s="42" t="str">
        <f ca="1">IF(ISBLANK(INDIRECT(ADDRESS(B40*2+2,3))),"",INDIRECT(ADDRESS(B40*2+2,3)))</f>
        <v>Ли</v>
      </c>
      <c r="D40" s="42"/>
      <c r="E40" s="43"/>
      <c r="F40" s="35">
        <v>13</v>
      </c>
      <c r="G40" s="36">
        <v>9</v>
      </c>
      <c r="H40" s="44" t="str">
        <f ca="1">IF(ISBLANK(INDIRECT(ADDRESS(K40*2+2,3))),"",INDIRECT(ADDRESS(K40*2+2,3)))</f>
        <v>Ариетта</v>
      </c>
      <c r="I40" s="42"/>
      <c r="J40" s="42"/>
      <c r="K40" s="34">
        <v>6</v>
      </c>
      <c r="L40" s="37" t="s">
        <v>197</v>
      </c>
      <c r="M40" s="32">
        <v>3</v>
      </c>
    </row>
    <row r="41" spans="1:13" s="33" customFormat="1" ht="30" customHeight="1" thickBot="1" x14ac:dyDescent="0.4">
      <c r="A41" s="31"/>
      <c r="B41" s="34">
        <v>4</v>
      </c>
      <c r="C41" s="42" t="str">
        <f ca="1">IF(ISBLANK(INDIRECT(ADDRESS(B41*2+2,3))),"",INDIRECT(ADDRESS(B41*2+2,3)))</f>
        <v>Смирнова</v>
      </c>
      <c r="D41" s="42"/>
      <c r="E41" s="43"/>
      <c r="F41" s="35">
        <v>9</v>
      </c>
      <c r="G41" s="36">
        <v>13</v>
      </c>
      <c r="H41" s="44" t="str">
        <f ca="1">IF(ISBLANK(INDIRECT(ADDRESS(K41*2+2,3))),"",INDIRECT(ADDRESS(K41*2+2,3)))</f>
        <v>Артюхина</v>
      </c>
      <c r="I41" s="42"/>
      <c r="J41" s="42"/>
      <c r="K41" s="34">
        <v>2</v>
      </c>
      <c r="L41" s="37" t="s">
        <v>197</v>
      </c>
      <c r="M41" s="32">
        <v>4</v>
      </c>
    </row>
    <row r="42" spans="1:13" s="33" customFormat="1" ht="30" customHeight="1" thickBot="1" x14ac:dyDescent="0.4">
      <c r="A42" s="31"/>
      <c r="B42" s="34">
        <v>5</v>
      </c>
      <c r="C42" s="42" t="str">
        <f ca="1">IF(ISBLANK(INDIRECT(ADDRESS(B42*2+2,3))),"",INDIRECT(ADDRESS(B42*2+2,3)))</f>
        <v>Кузнецова</v>
      </c>
      <c r="D42" s="42"/>
      <c r="E42" s="43"/>
      <c r="F42" s="35">
        <v>11</v>
      </c>
      <c r="G42" s="36">
        <v>10</v>
      </c>
      <c r="H42" s="44" t="str">
        <f ca="1">IF(ISBLANK(INDIRECT(ADDRESS(K42*2+2,3))),"",INDIRECT(ADDRESS(K42*2+2,3)))</f>
        <v>Бейгер</v>
      </c>
      <c r="I42" s="42"/>
      <c r="J42" s="42"/>
      <c r="K42" s="34">
        <v>1</v>
      </c>
      <c r="L42" s="37" t="s">
        <v>197</v>
      </c>
      <c r="M42" s="32">
        <v>5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4" sqref="C4:E5"/>
    </sheetView>
  </sheetViews>
  <sheetFormatPr defaultRowHeight="15" x14ac:dyDescent="0.25"/>
  <cols>
    <col min="1" max="1" width="4" style="8" customWidth="1"/>
    <col min="2" max="15" width="10.28515625" customWidth="1"/>
  </cols>
  <sheetData>
    <row r="1" spans="2:14" ht="38.25" customHeight="1" x14ac:dyDescent="0.25">
      <c r="B1" s="64" t="s">
        <v>203</v>
      </c>
      <c r="C1" s="64"/>
      <c r="D1" s="64"/>
      <c r="E1" s="64"/>
      <c r="F1" s="64"/>
      <c r="G1" s="64"/>
      <c r="H1" s="64"/>
      <c r="I1" s="64"/>
      <c r="J1" s="64"/>
      <c r="K1" s="64"/>
    </row>
    <row r="2" spans="2:14" ht="15.75" thickBot="1" x14ac:dyDescent="0.3"/>
    <row r="3" spans="2:14" ht="30" customHeight="1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11">
        <v>6</v>
      </c>
      <c r="L3" s="12" t="s">
        <v>192</v>
      </c>
      <c r="M3" s="10" t="s">
        <v>193</v>
      </c>
      <c r="N3" s="13" t="s">
        <v>194</v>
      </c>
    </row>
    <row r="4" spans="2:14" ht="24" customHeight="1" x14ac:dyDescent="0.25">
      <c r="B4" s="68">
        <v>1</v>
      </c>
      <c r="C4" s="73" t="s">
        <v>211</v>
      </c>
      <c r="D4" s="74"/>
      <c r="E4" s="75"/>
      <c r="F4" s="14" t="s">
        <v>195</v>
      </c>
      <c r="G4" s="15" t="str">
        <f ca="1">INDIRECT(ADDRESS(27,6))&amp;":"&amp;INDIRECT(ADDRESS(27,7))</f>
        <v>5:8</v>
      </c>
      <c r="H4" s="15" t="str">
        <f ca="1">INDIRECT(ADDRESS(31,7))&amp;":"&amp;INDIRECT(ADDRESS(31,6))</f>
        <v>7:10</v>
      </c>
      <c r="I4" s="15" t="str">
        <f ca="1">INDIRECT(ADDRESS(36,6))&amp;":"&amp;INDIRECT(ADDRESS(36,7))</f>
        <v>13:3</v>
      </c>
      <c r="J4" s="15" t="str">
        <f ca="1">INDIRECT(ADDRESS(42,7))&amp;":"&amp;INDIRECT(ADDRESS(42,6))</f>
        <v>10:9</v>
      </c>
      <c r="K4" s="16" t="str">
        <f ca="1">INDIRECT(ADDRESS(20,6))&amp;":"&amp;INDIRECT(ADDRESS(20,7))</f>
        <v>11:7</v>
      </c>
      <c r="L4" s="72">
        <f ca="1">IF(COUNT(F5:K5)=0,"",COUNTIF(F5:K5,"&gt;0")+0.5*COUNTIF(F5:K5,0))</f>
        <v>3</v>
      </c>
      <c r="M4" s="17"/>
      <c r="N4" s="63">
        <v>3</v>
      </c>
    </row>
    <row r="5" spans="2:14" ht="24" customHeight="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COLUMN())))=1,"",INDIRECT(ADDRESS(27,6))-INDIRECT(ADDRESS(27,7)))</f>
        <v>-3</v>
      </c>
      <c r="H5" s="19">
        <f ca="1">IF(LEN(INDIRECT(ADDRESS(ROW()-1, COLUMN())))=1,"",INDIRECT(ADDRESS(31,7))-INDIRECT(ADDRESS(31,6)))</f>
        <v>-3</v>
      </c>
      <c r="I5" s="19">
        <f ca="1">IF(LEN(INDIRECT(ADDRESS(ROW()-1, COLUMN())))=1,"",INDIRECT(ADDRESS(36,6))-INDIRECT(ADDRESS(36,7)))</f>
        <v>10</v>
      </c>
      <c r="J5" s="19">
        <f ca="1">IF(LEN(INDIRECT(ADDRESS(ROW()-1, COLUMN())))=1,"",INDIRECT(ADDRESS(42,7))-INDIRECT(ADDRESS(42,6)))</f>
        <v>1</v>
      </c>
      <c r="K5" s="20">
        <f ca="1">IF(LEN(INDIRECT(ADDRESS(ROW()-1, COLUMN())))=1,"",INDIRECT(ADDRESS(20,6))-INDIRECT(ADDRESS(20,7)))</f>
        <v>4</v>
      </c>
      <c r="L5" s="54"/>
      <c r="M5" s="19">
        <f ca="1">IF(COUNT(F5:K5)=0,"",SUM(F5:K5))</f>
        <v>9</v>
      </c>
      <c r="N5" s="59"/>
    </row>
    <row r="6" spans="2:14" ht="24" customHeight="1" x14ac:dyDescent="0.25">
      <c r="B6" s="46">
        <v>2</v>
      </c>
      <c r="C6" s="60" t="s">
        <v>64</v>
      </c>
      <c r="D6" s="61"/>
      <c r="E6" s="62"/>
      <c r="F6" s="21" t="str">
        <f ca="1">INDIRECT(ADDRESS(27,7))&amp;":"&amp;INDIRECT(ADDRESS(27,6))</f>
        <v>8:5</v>
      </c>
      <c r="G6" s="22" t="s">
        <v>195</v>
      </c>
      <c r="H6" s="23" t="str">
        <f ca="1">INDIRECT(ADDRESS(37,6))&amp;":"&amp;INDIRECT(ADDRESS(37,7))</f>
        <v>1:13</v>
      </c>
      <c r="I6" s="23" t="str">
        <f ca="1">INDIRECT(ADDRESS(41,7))&amp;":"&amp;INDIRECT(ADDRESS(41,6))</f>
        <v>13:4</v>
      </c>
      <c r="J6" s="23" t="str">
        <f ca="1">INDIRECT(ADDRESS(21,6))&amp;":"&amp;INDIRECT(ADDRESS(21,7))</f>
        <v>6:11</v>
      </c>
      <c r="K6" s="24" t="str">
        <f ca="1">INDIRECT(ADDRESS(30,6))&amp;":"&amp;INDIRECT(ADDRESS(30,7))</f>
        <v>13:3</v>
      </c>
      <c r="L6" s="54">
        <f ca="1">IF(COUNT(F7:K7)=0,"",COUNTIF(F7:K7,"&gt;0")+0.5*COUNTIF(F7:K7,0))</f>
        <v>3</v>
      </c>
      <c r="M6" s="19"/>
      <c r="N6" s="56">
        <v>2</v>
      </c>
    </row>
    <row r="7" spans="2:14" ht="24" customHeight="1" x14ac:dyDescent="0.25">
      <c r="B7" s="58"/>
      <c r="C7" s="60"/>
      <c r="D7" s="61"/>
      <c r="E7" s="62"/>
      <c r="F7" s="25">
        <f ca="1">IF(LEN(INDIRECT(ADDRESS(ROW()-1, COLUMN())))=1,"",INDIRECT(ADDRESS(27,7))-INDIRECT(ADDRESS(27,6)))</f>
        <v>3</v>
      </c>
      <c r="G7" s="26" t="s">
        <v>195</v>
      </c>
      <c r="H7" s="19">
        <f ca="1">IF(LEN(INDIRECT(ADDRESS(ROW()-1, COLUMN())))=1,"",INDIRECT(ADDRESS(37,6))-INDIRECT(ADDRESS(37,7)))</f>
        <v>-12</v>
      </c>
      <c r="I7" s="19">
        <f ca="1">IF(LEN(INDIRECT(ADDRESS(ROW()-1, COLUMN())))=1,"",INDIRECT(ADDRESS(41,7))-INDIRECT(ADDRESS(41,6)))</f>
        <v>9</v>
      </c>
      <c r="J7" s="19">
        <f ca="1">IF(LEN(INDIRECT(ADDRESS(ROW()-1, COLUMN())))=1,"",INDIRECT(ADDRESS(21,6))-INDIRECT(ADDRESS(21,7)))</f>
        <v>-5</v>
      </c>
      <c r="K7" s="20">
        <f ca="1">IF(LEN(INDIRECT(ADDRESS(ROW()-1, COLUMN())))=1,"",INDIRECT(ADDRESS(30,6))-INDIRECT(ADDRESS(30,7)))</f>
        <v>10</v>
      </c>
      <c r="L7" s="54"/>
      <c r="M7" s="19">
        <f ca="1">IF(COUNT(F7:K7)=0,"",SUM(F7:K7))</f>
        <v>5</v>
      </c>
      <c r="N7" s="59"/>
    </row>
    <row r="8" spans="2:14" ht="24" customHeight="1" x14ac:dyDescent="0.25">
      <c r="B8" s="46">
        <v>3</v>
      </c>
      <c r="C8" s="60" t="s">
        <v>186</v>
      </c>
      <c r="D8" s="61"/>
      <c r="E8" s="62"/>
      <c r="F8" s="21" t="str">
        <f ca="1">INDIRECT(ADDRESS(31,6))&amp;":"&amp;INDIRECT(ADDRESS(31,7))</f>
        <v>10:7</v>
      </c>
      <c r="G8" s="23" t="str">
        <f ca="1">INDIRECT(ADDRESS(37,7))&amp;":"&amp;INDIRECT(ADDRESS(37,6))</f>
        <v>13:1</v>
      </c>
      <c r="H8" s="22" t="s">
        <v>195</v>
      </c>
      <c r="I8" s="23" t="str">
        <f ca="1">INDIRECT(ADDRESS(22,6))&amp;":"&amp;INDIRECT(ADDRESS(22,7))</f>
        <v>13:5</v>
      </c>
      <c r="J8" s="23" t="str">
        <f ca="1">INDIRECT(ADDRESS(26,7))&amp;":"&amp;INDIRECT(ADDRESS(26,6))</f>
        <v>13:1</v>
      </c>
      <c r="K8" s="24" t="str">
        <f ca="1">INDIRECT(ADDRESS(40,6))&amp;":"&amp;INDIRECT(ADDRESS(40,7))</f>
        <v>13:3</v>
      </c>
      <c r="L8" s="54">
        <f ca="1">IF(COUNT(F9:K9)=0,"",COUNTIF(F9:K9,"&gt;0")+0.5*COUNTIF(F9:K9,0))</f>
        <v>5</v>
      </c>
      <c r="M8" s="19"/>
      <c r="N8" s="56">
        <v>1</v>
      </c>
    </row>
    <row r="9" spans="2:14" ht="24" customHeight="1" x14ac:dyDescent="0.25">
      <c r="B9" s="58"/>
      <c r="C9" s="60"/>
      <c r="D9" s="61"/>
      <c r="E9" s="62"/>
      <c r="F9" s="25">
        <f ca="1">IF(LEN(INDIRECT(ADDRESS(ROW()-1, COLUMN())))=1,"",INDIRECT(ADDRESS(31,6))-INDIRECT(ADDRESS(31,7)))</f>
        <v>3</v>
      </c>
      <c r="G9" s="19">
        <f ca="1">IF(LEN(INDIRECT(ADDRESS(ROW()-1, COLUMN())))=1,"",INDIRECT(ADDRESS(37,7))-INDIRECT(ADDRESS(37,6)))</f>
        <v>12</v>
      </c>
      <c r="H9" s="26" t="s">
        <v>195</v>
      </c>
      <c r="I9" s="19">
        <f ca="1">IF(LEN(INDIRECT(ADDRESS(ROW()-1, COLUMN())))=1,"",INDIRECT(ADDRESS(22,6))-INDIRECT(ADDRESS(22,7)))</f>
        <v>8</v>
      </c>
      <c r="J9" s="19">
        <f ca="1">IF(LEN(INDIRECT(ADDRESS(ROW()-1, COLUMN())))=1,"",INDIRECT(ADDRESS(26,7))-INDIRECT(ADDRESS(26,6)))</f>
        <v>12</v>
      </c>
      <c r="K9" s="20">
        <f ca="1">IF(LEN(INDIRECT(ADDRESS(ROW()-1, COLUMN())))=1,"",INDIRECT(ADDRESS(40,6))-INDIRECT(ADDRESS(40,7)))</f>
        <v>10</v>
      </c>
      <c r="L9" s="54"/>
      <c r="M9" s="19">
        <f ca="1">IF(COUNT(F9:K9)=0,"",SUM(F9:K9))</f>
        <v>45</v>
      </c>
      <c r="N9" s="59"/>
    </row>
    <row r="10" spans="2:14" ht="24" customHeight="1" x14ac:dyDescent="0.25">
      <c r="B10" s="46">
        <v>4</v>
      </c>
      <c r="C10" s="48" t="s">
        <v>212</v>
      </c>
      <c r="D10" s="49"/>
      <c r="E10" s="50"/>
      <c r="F10" s="21" t="str">
        <f ca="1">INDIRECT(ADDRESS(36,7))&amp;":"&amp;INDIRECT(ADDRESS(36,6))</f>
        <v>3:13</v>
      </c>
      <c r="G10" s="23" t="str">
        <f ca="1">INDIRECT(ADDRESS(41,6))&amp;":"&amp;INDIRECT(ADDRESS(41,7))</f>
        <v>4:13</v>
      </c>
      <c r="H10" s="23" t="str">
        <f ca="1">INDIRECT(ADDRESS(22,7))&amp;":"&amp;INDIRECT(ADDRESS(22,6))</f>
        <v>5:13</v>
      </c>
      <c r="I10" s="22" t="s">
        <v>195</v>
      </c>
      <c r="J10" s="23" t="str">
        <f ca="1">INDIRECT(ADDRESS(32,6))&amp;":"&amp;INDIRECT(ADDRESS(32,7))</f>
        <v>4:12</v>
      </c>
      <c r="K10" s="24" t="str">
        <f ca="1">INDIRECT(ADDRESS(25,7))&amp;":"&amp;INDIRECT(ADDRESS(25,6))</f>
        <v>4:13</v>
      </c>
      <c r="L10" s="54">
        <f ca="1">IF(COUNT(F11:K11)=0,"",COUNTIF(F11:K11,"&gt;0")+0.5*COUNTIF(F11:K11,0))</f>
        <v>0</v>
      </c>
      <c r="M10" s="19"/>
      <c r="N10" s="56">
        <v>6</v>
      </c>
    </row>
    <row r="11" spans="2:14" ht="24" customHeight="1" x14ac:dyDescent="0.25">
      <c r="B11" s="58"/>
      <c r="C11" s="48"/>
      <c r="D11" s="49"/>
      <c r="E11" s="50"/>
      <c r="F11" s="25">
        <f ca="1">IF(LEN(INDIRECT(ADDRESS(ROW()-1, COLUMN())))=1,"",INDIRECT(ADDRESS(36,7))-INDIRECT(ADDRESS(36,6)))</f>
        <v>-10</v>
      </c>
      <c r="G11" s="19">
        <f ca="1">IF(LEN(INDIRECT(ADDRESS(ROW()-1, COLUMN())))=1,"",INDIRECT(ADDRESS(41,6))-INDIRECT(ADDRESS(41,7)))</f>
        <v>-9</v>
      </c>
      <c r="H11" s="19">
        <f ca="1">IF(LEN(INDIRECT(ADDRESS(ROW()-1, COLUMN())))=1,"",INDIRECT(ADDRESS(22,7))-INDIRECT(ADDRESS(22,6)))</f>
        <v>-8</v>
      </c>
      <c r="I11" s="26" t="s">
        <v>195</v>
      </c>
      <c r="J11" s="19">
        <f ca="1">IF(LEN(INDIRECT(ADDRESS(ROW()-1, COLUMN())))=1,"",INDIRECT(ADDRESS(32,6))-INDIRECT(ADDRESS(32,7)))</f>
        <v>-8</v>
      </c>
      <c r="K11" s="20">
        <f ca="1">IF(LEN(INDIRECT(ADDRESS(ROW()-1, COLUMN())))=1,"",INDIRECT(ADDRESS(25,7))-INDIRECT(ADDRESS(25,6)))</f>
        <v>-9</v>
      </c>
      <c r="L11" s="54"/>
      <c r="M11" s="19">
        <f ca="1">IF(COUNT(F11:K11)=0,"",SUM(F11:K11))</f>
        <v>-44</v>
      </c>
      <c r="N11" s="59"/>
    </row>
    <row r="12" spans="2:14" ht="24" customHeight="1" x14ac:dyDescent="0.25">
      <c r="B12" s="46">
        <v>5</v>
      </c>
      <c r="C12" s="48" t="s">
        <v>189</v>
      </c>
      <c r="D12" s="49"/>
      <c r="E12" s="50"/>
      <c r="F12" s="21" t="str">
        <f ca="1">INDIRECT(ADDRESS(42,6))&amp;":"&amp;INDIRECT(ADDRESS(42,7))</f>
        <v>9:10</v>
      </c>
      <c r="G12" s="23" t="str">
        <f ca="1">INDIRECT(ADDRESS(21,7))&amp;":"&amp;INDIRECT(ADDRESS(21,6))</f>
        <v>11:6</v>
      </c>
      <c r="H12" s="23" t="str">
        <f ca="1">INDIRECT(ADDRESS(26,6))&amp;":"&amp;INDIRECT(ADDRESS(26,7))</f>
        <v>1:13</v>
      </c>
      <c r="I12" s="23" t="str">
        <f ca="1">INDIRECT(ADDRESS(32,7))&amp;":"&amp;INDIRECT(ADDRESS(32,6))</f>
        <v>12:4</v>
      </c>
      <c r="J12" s="22" t="s">
        <v>195</v>
      </c>
      <c r="K12" s="24" t="str">
        <f ca="1">INDIRECT(ADDRESS(35,7))&amp;":"&amp;INDIRECT(ADDRESS(35,6))</f>
        <v>9:13</v>
      </c>
      <c r="L12" s="54">
        <f ca="1">IF(COUNT(F13:K13)=0,"",COUNTIF(F13:K13,"&gt;0")+0.5*COUNTIF(F13:K13,0))</f>
        <v>2</v>
      </c>
      <c r="M12" s="19"/>
      <c r="N12" s="56">
        <v>5</v>
      </c>
    </row>
    <row r="13" spans="2:14" ht="24" customHeight="1" x14ac:dyDescent="0.25">
      <c r="B13" s="58"/>
      <c r="C13" s="48"/>
      <c r="D13" s="49"/>
      <c r="E13" s="50"/>
      <c r="F13" s="25">
        <f ca="1">IF(LEN(INDIRECT(ADDRESS(ROW()-1, COLUMN())))=1,"",INDIRECT(ADDRESS(42,6))-INDIRECT(ADDRESS(42,7)))</f>
        <v>-1</v>
      </c>
      <c r="G13" s="19">
        <f ca="1">IF(LEN(INDIRECT(ADDRESS(ROW()-1, COLUMN())))=1,"",INDIRECT(ADDRESS(21,7))-INDIRECT(ADDRESS(21,6)))</f>
        <v>5</v>
      </c>
      <c r="H13" s="19">
        <f ca="1">IF(LEN(INDIRECT(ADDRESS(ROW()-1, COLUMN())))=1,"",INDIRECT(ADDRESS(26,6))-INDIRECT(ADDRESS(26,7)))</f>
        <v>-12</v>
      </c>
      <c r="I13" s="19">
        <f ca="1">IF(LEN(INDIRECT(ADDRESS(ROW()-1, COLUMN())))=1,"",INDIRECT(ADDRESS(32,7))-INDIRECT(ADDRESS(32,6)))</f>
        <v>8</v>
      </c>
      <c r="J13" s="26" t="s">
        <v>195</v>
      </c>
      <c r="K13" s="20">
        <f ca="1">IF(LEN(INDIRECT(ADDRESS(ROW()-1, COLUMN())))=1,"",INDIRECT(ADDRESS(35,7))-INDIRECT(ADDRESS(35,6)))</f>
        <v>-4</v>
      </c>
      <c r="L13" s="54"/>
      <c r="M13" s="19">
        <f ca="1">IF(COUNT(F13:K13)=0,"",SUM(F13:K13))</f>
        <v>-4</v>
      </c>
      <c r="N13" s="59"/>
    </row>
    <row r="14" spans="2:14" ht="24" customHeight="1" x14ac:dyDescent="0.25">
      <c r="B14" s="46">
        <v>6</v>
      </c>
      <c r="C14" s="48" t="s">
        <v>178</v>
      </c>
      <c r="D14" s="49"/>
      <c r="E14" s="50"/>
      <c r="F14" s="21" t="str">
        <f ca="1">INDIRECT(ADDRESS(20,7))&amp;":"&amp;INDIRECT(ADDRESS(20,6))</f>
        <v>7:11</v>
      </c>
      <c r="G14" s="23" t="str">
        <f ca="1">INDIRECT(ADDRESS(30,7))&amp;":"&amp;INDIRECT(ADDRESS(30,6))</f>
        <v>3:13</v>
      </c>
      <c r="H14" s="23" t="str">
        <f ca="1">INDIRECT(ADDRESS(40,7))&amp;":"&amp;INDIRECT(ADDRESS(40,6))</f>
        <v>3:13</v>
      </c>
      <c r="I14" s="23" t="str">
        <f ca="1">INDIRECT(ADDRESS(25,6))&amp;":"&amp;INDIRECT(ADDRESS(25,7))</f>
        <v>13:4</v>
      </c>
      <c r="J14" s="23" t="str">
        <f ca="1">INDIRECT(ADDRESS(35,6))&amp;":"&amp;INDIRECT(ADDRESS(35,7))</f>
        <v>13:9</v>
      </c>
      <c r="K14" s="27" t="s">
        <v>195</v>
      </c>
      <c r="L14" s="54">
        <f ca="1">IF(COUNT(F15:K15)=0,"",COUNTIF(F15:K15,"&gt;0")+0.5*COUNTIF(F15:K15,0))</f>
        <v>2</v>
      </c>
      <c r="M14" s="19"/>
      <c r="N14" s="56">
        <v>4</v>
      </c>
    </row>
    <row r="15" spans="2:14" ht="24" customHeight="1" thickBot="1" x14ac:dyDescent="0.3">
      <c r="B15" s="47"/>
      <c r="C15" s="51"/>
      <c r="D15" s="52"/>
      <c r="E15" s="53"/>
      <c r="F15" s="28">
        <f ca="1">IF(LEN(INDIRECT(ADDRESS(ROW()-1, COLUMN())))=1,"",INDIRECT(ADDRESS(20,7))-INDIRECT(ADDRESS(20,6)))</f>
        <v>-4</v>
      </c>
      <c r="G15" s="29">
        <f ca="1">IF(LEN(INDIRECT(ADDRESS(ROW()-1, COLUMN())))=1,"",INDIRECT(ADDRESS(30,7))-INDIRECT(ADDRESS(30,6)))</f>
        <v>-10</v>
      </c>
      <c r="H15" s="29">
        <f ca="1">IF(LEN(INDIRECT(ADDRESS(ROW()-1, COLUMN())))=1,"",INDIRECT(ADDRESS(40,7))-INDIRECT(ADDRESS(40,6)))</f>
        <v>-10</v>
      </c>
      <c r="I15" s="29">
        <f ca="1">IF(LEN(INDIRECT(ADDRESS(ROW()-1, COLUMN())))=1,"",INDIRECT(ADDRESS(25,6))-INDIRECT(ADDRESS(25,7)))</f>
        <v>9</v>
      </c>
      <c r="J15" s="29">
        <f ca="1">IF(LEN(INDIRECT(ADDRESS(ROW()-1, COLUMN())))=1,"",INDIRECT(ADDRESS(35,6))-INDIRECT(ADDRESS(35,7)))</f>
        <v>4</v>
      </c>
      <c r="K15" s="30" t="s">
        <v>195</v>
      </c>
      <c r="L15" s="55"/>
      <c r="M15" s="29">
        <f ca="1">IF(COUNT(F15:K15)=0,"",SUM(F15:K15))</f>
        <v>-11</v>
      </c>
      <c r="N15" s="57"/>
    </row>
    <row r="19" spans="1:13" s="33" customFormat="1" ht="30" customHeight="1" thickBot="1" x14ac:dyDescent="0.4">
      <c r="A19" s="31"/>
      <c r="B19" s="45" t="s">
        <v>196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3" s="33" customFormat="1" ht="30" customHeight="1" thickBot="1" x14ac:dyDescent="0.4">
      <c r="A20" s="31"/>
      <c r="B20" s="34">
        <v>1</v>
      </c>
      <c r="C20" s="42" t="str">
        <f ca="1">IF(ISBLANK(INDIRECT(ADDRESS(B20*2+2,3))),"",INDIRECT(ADDRESS(B20*2+2,3)))</f>
        <v>Поляков</v>
      </c>
      <c r="D20" s="42"/>
      <c r="E20" s="43"/>
      <c r="F20" s="35">
        <v>11</v>
      </c>
      <c r="G20" s="36">
        <v>7</v>
      </c>
      <c r="H20" s="44" t="str">
        <f ca="1">IF(ISBLANK(INDIRECT(ADDRESS(K20*2+2,3))),"",INDIRECT(ADDRESS(K20*2+2,3)))</f>
        <v>Петраков</v>
      </c>
      <c r="I20" s="42"/>
      <c r="J20" s="42"/>
      <c r="K20" s="34">
        <v>6</v>
      </c>
      <c r="L20" s="37" t="s">
        <v>197</v>
      </c>
      <c r="M20" s="32">
        <v>4</v>
      </c>
    </row>
    <row r="21" spans="1:13" s="33" customFormat="1" ht="30" customHeight="1" thickBot="1" x14ac:dyDescent="0.4">
      <c r="A21" s="31"/>
      <c r="B21" s="34">
        <v>2</v>
      </c>
      <c r="C21" s="42" t="str">
        <f ca="1">IF(ISBLANK(INDIRECT(ADDRESS(B21*2+2,3))),"",INDIRECT(ADDRESS(B21*2+2,3)))</f>
        <v>Полякова</v>
      </c>
      <c r="D21" s="42"/>
      <c r="E21" s="43"/>
      <c r="F21" s="35">
        <v>6</v>
      </c>
      <c r="G21" s="36">
        <v>11</v>
      </c>
      <c r="H21" s="44" t="str">
        <f ca="1">IF(ISBLANK(INDIRECT(ADDRESS(K21*2+2,3))),"",INDIRECT(ADDRESS(K21*2+2,3)))</f>
        <v>Тихомирова</v>
      </c>
      <c r="I21" s="42"/>
      <c r="J21" s="42"/>
      <c r="K21" s="34">
        <v>5</v>
      </c>
      <c r="L21" s="37" t="s">
        <v>197</v>
      </c>
      <c r="M21" s="32">
        <v>5</v>
      </c>
    </row>
    <row r="22" spans="1:13" s="33" customFormat="1" ht="30" customHeight="1" thickBot="1" x14ac:dyDescent="0.4">
      <c r="A22" s="31"/>
      <c r="B22" s="34">
        <v>3</v>
      </c>
      <c r="C22" s="42" t="str">
        <f ca="1">IF(ISBLANK(INDIRECT(ADDRESS(B22*2+2,3))),"",INDIRECT(ADDRESS(B22*2+2,3)))</f>
        <v>Гулинин</v>
      </c>
      <c r="D22" s="42"/>
      <c r="E22" s="43"/>
      <c r="F22" s="35">
        <v>13</v>
      </c>
      <c r="G22" s="36">
        <v>5</v>
      </c>
      <c r="H22" s="44" t="str">
        <f ca="1">IF(ISBLANK(INDIRECT(ADDRESS(K22*2+2,3))),"",INDIRECT(ADDRESS(K22*2+2,3)))</f>
        <v>Волков</v>
      </c>
      <c r="I22" s="42"/>
      <c r="J22" s="42"/>
      <c r="K22" s="34">
        <v>4</v>
      </c>
      <c r="L22" s="37" t="s">
        <v>197</v>
      </c>
      <c r="M22" s="32">
        <v>6</v>
      </c>
    </row>
    <row r="23" spans="1:13" s="33" customFormat="1" ht="30" customHeight="1" x14ac:dyDescent="0.35">
      <c r="A23" s="31"/>
      <c r="M23" s="38"/>
    </row>
    <row r="24" spans="1:13" s="33" customFormat="1" ht="30" customHeight="1" thickBot="1" x14ac:dyDescent="0.4">
      <c r="A24" s="31"/>
      <c r="B24" s="45" t="s">
        <v>198</v>
      </c>
      <c r="C24" s="45"/>
      <c r="D24" s="45"/>
      <c r="E24" s="45"/>
      <c r="F24" s="45"/>
      <c r="G24" s="45"/>
      <c r="H24" s="45"/>
      <c r="I24" s="45"/>
      <c r="J24" s="45"/>
      <c r="K24" s="45"/>
      <c r="M24" s="38"/>
    </row>
    <row r="25" spans="1:13" s="33" customFormat="1" ht="30" customHeight="1" thickBot="1" x14ac:dyDescent="0.4">
      <c r="A25" s="31"/>
      <c r="B25" s="34">
        <v>6</v>
      </c>
      <c r="C25" s="42" t="str">
        <f ca="1">IF(ISBLANK(INDIRECT(ADDRESS(B25*2+2,3))),"",INDIRECT(ADDRESS(B25*2+2,3)))</f>
        <v>Петраков</v>
      </c>
      <c r="D25" s="42"/>
      <c r="E25" s="43"/>
      <c r="F25" s="35">
        <v>13</v>
      </c>
      <c r="G25" s="36">
        <v>4</v>
      </c>
      <c r="H25" s="44" t="str">
        <f ca="1">IF(ISBLANK(INDIRECT(ADDRESS(K25*2+2,3))),"",INDIRECT(ADDRESS(K25*2+2,3)))</f>
        <v>Волков</v>
      </c>
      <c r="I25" s="42"/>
      <c r="J25" s="42"/>
      <c r="K25" s="34">
        <v>4</v>
      </c>
      <c r="L25" s="37" t="s">
        <v>197</v>
      </c>
      <c r="M25" s="32">
        <v>7</v>
      </c>
    </row>
    <row r="26" spans="1:13" s="33" customFormat="1" ht="30" customHeight="1" thickBot="1" x14ac:dyDescent="0.4">
      <c r="A26" s="31"/>
      <c r="B26" s="34">
        <v>5</v>
      </c>
      <c r="C26" s="42" t="str">
        <f ca="1">IF(ISBLANK(INDIRECT(ADDRESS(B26*2+2,3))),"",INDIRECT(ADDRESS(B26*2+2,3)))</f>
        <v>Тихомирова</v>
      </c>
      <c r="D26" s="42"/>
      <c r="E26" s="43"/>
      <c r="F26" s="35">
        <v>1</v>
      </c>
      <c r="G26" s="36">
        <v>13</v>
      </c>
      <c r="H26" s="44" t="str">
        <f ca="1">IF(ISBLANK(INDIRECT(ADDRESS(K26*2+2,3))),"",INDIRECT(ADDRESS(K26*2+2,3)))</f>
        <v>Гулинин</v>
      </c>
      <c r="I26" s="42"/>
      <c r="J26" s="42"/>
      <c r="K26" s="34">
        <v>3</v>
      </c>
      <c r="L26" s="37" t="s">
        <v>197</v>
      </c>
      <c r="M26" s="32">
        <v>8</v>
      </c>
    </row>
    <row r="27" spans="1:13" s="33" customFormat="1" ht="30" customHeight="1" thickBot="1" x14ac:dyDescent="0.4">
      <c r="A27" s="31"/>
      <c r="B27" s="34">
        <v>1</v>
      </c>
      <c r="C27" s="42" t="str">
        <f ca="1">IF(ISBLANK(INDIRECT(ADDRESS(B27*2+2,3))),"",INDIRECT(ADDRESS(B27*2+2,3)))</f>
        <v>Поляков</v>
      </c>
      <c r="D27" s="42"/>
      <c r="E27" s="43"/>
      <c r="F27" s="35">
        <v>5</v>
      </c>
      <c r="G27" s="36">
        <v>8</v>
      </c>
      <c r="H27" s="44" t="str">
        <f ca="1">IF(ISBLANK(INDIRECT(ADDRESS(K27*2+2,3))),"",INDIRECT(ADDRESS(K27*2+2,3)))</f>
        <v>Полякова</v>
      </c>
      <c r="I27" s="42"/>
      <c r="J27" s="42"/>
      <c r="K27" s="34">
        <v>2</v>
      </c>
      <c r="L27" s="37" t="s">
        <v>197</v>
      </c>
      <c r="M27" s="32">
        <v>9</v>
      </c>
    </row>
    <row r="28" spans="1:13" s="33" customFormat="1" ht="30" customHeight="1" x14ac:dyDescent="0.35">
      <c r="A28" s="31"/>
      <c r="M28" s="38"/>
    </row>
    <row r="29" spans="1:13" s="33" customFormat="1" ht="30" customHeight="1" thickBot="1" x14ac:dyDescent="0.4">
      <c r="A29" s="31"/>
      <c r="B29" s="45" t="s">
        <v>199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30" customHeight="1" thickBot="1" x14ac:dyDescent="0.4">
      <c r="A30" s="31"/>
      <c r="B30" s="34">
        <v>2</v>
      </c>
      <c r="C30" s="42" t="str">
        <f ca="1">IF(ISBLANK(INDIRECT(ADDRESS(B30*2+2,3))),"",INDIRECT(ADDRESS(B30*2+2,3)))</f>
        <v>Полякова</v>
      </c>
      <c r="D30" s="42"/>
      <c r="E30" s="43"/>
      <c r="F30" s="35">
        <v>13</v>
      </c>
      <c r="G30" s="36">
        <v>3</v>
      </c>
      <c r="H30" s="44" t="str">
        <f ca="1">IF(ISBLANK(INDIRECT(ADDRESS(K30*2+2,3))),"",INDIRECT(ADDRESS(K30*2+2,3)))</f>
        <v>Петраков</v>
      </c>
      <c r="I30" s="42"/>
      <c r="J30" s="42"/>
      <c r="K30" s="34">
        <v>6</v>
      </c>
      <c r="L30" s="37" t="s">
        <v>197</v>
      </c>
      <c r="M30" s="32">
        <v>1</v>
      </c>
    </row>
    <row r="31" spans="1:13" s="33" customFormat="1" ht="30" customHeight="1" thickBot="1" x14ac:dyDescent="0.4">
      <c r="A31" s="31"/>
      <c r="B31" s="34">
        <v>3</v>
      </c>
      <c r="C31" s="42" t="str">
        <f ca="1">IF(ISBLANK(INDIRECT(ADDRESS(B31*2+2,3))),"",INDIRECT(ADDRESS(B31*2+2,3)))</f>
        <v>Гулинин</v>
      </c>
      <c r="D31" s="42"/>
      <c r="E31" s="43"/>
      <c r="F31" s="35">
        <v>10</v>
      </c>
      <c r="G31" s="36">
        <v>7</v>
      </c>
      <c r="H31" s="44" t="str">
        <f ca="1">IF(ISBLANK(INDIRECT(ADDRESS(K31*2+2,3))),"",INDIRECT(ADDRESS(K31*2+2,3)))</f>
        <v>Поляков</v>
      </c>
      <c r="I31" s="42"/>
      <c r="J31" s="42"/>
      <c r="K31" s="34">
        <v>1</v>
      </c>
      <c r="L31" s="37" t="s">
        <v>197</v>
      </c>
      <c r="M31" s="32">
        <v>2</v>
      </c>
    </row>
    <row r="32" spans="1:13" s="33" customFormat="1" ht="30" customHeight="1" thickBot="1" x14ac:dyDescent="0.4">
      <c r="A32" s="31"/>
      <c r="B32" s="34">
        <v>4</v>
      </c>
      <c r="C32" s="42" t="str">
        <f ca="1">IF(ISBLANK(INDIRECT(ADDRESS(B32*2+2,3))),"",INDIRECT(ADDRESS(B32*2+2,3)))</f>
        <v>Волков</v>
      </c>
      <c r="D32" s="42"/>
      <c r="E32" s="43"/>
      <c r="F32" s="35">
        <v>4</v>
      </c>
      <c r="G32" s="36">
        <v>12</v>
      </c>
      <c r="H32" s="44" t="str">
        <f ca="1">IF(ISBLANK(INDIRECT(ADDRESS(K32*2+2,3))),"",INDIRECT(ADDRESS(K32*2+2,3)))</f>
        <v>Тихомирова</v>
      </c>
      <c r="I32" s="42"/>
      <c r="J32" s="42"/>
      <c r="K32" s="34">
        <v>5</v>
      </c>
      <c r="L32" s="37" t="s">
        <v>197</v>
      </c>
      <c r="M32" s="32">
        <v>10</v>
      </c>
    </row>
    <row r="33" spans="1:13" s="33" customFormat="1" ht="30" customHeight="1" x14ac:dyDescent="0.35">
      <c r="A33" s="31"/>
      <c r="M33" s="38"/>
    </row>
    <row r="34" spans="1:13" s="33" customFormat="1" ht="30" customHeight="1" thickBot="1" x14ac:dyDescent="0.4">
      <c r="A34" s="31"/>
      <c r="B34" s="45" t="s">
        <v>200</v>
      </c>
      <c r="C34" s="45"/>
      <c r="D34" s="45"/>
      <c r="E34" s="45"/>
      <c r="F34" s="45"/>
      <c r="G34" s="45"/>
      <c r="H34" s="45"/>
      <c r="I34" s="45"/>
      <c r="J34" s="45"/>
      <c r="K34" s="45"/>
      <c r="M34" s="38"/>
    </row>
    <row r="35" spans="1:13" s="33" customFormat="1" ht="30" customHeight="1" thickBot="1" x14ac:dyDescent="0.4">
      <c r="A35" s="31"/>
      <c r="B35" s="34">
        <v>6</v>
      </c>
      <c r="C35" s="42" t="str">
        <f ca="1">IF(ISBLANK(INDIRECT(ADDRESS(B35*2+2,3))),"",INDIRECT(ADDRESS(B35*2+2,3)))</f>
        <v>Петраков</v>
      </c>
      <c r="D35" s="42"/>
      <c r="E35" s="43"/>
      <c r="F35" s="35">
        <v>13</v>
      </c>
      <c r="G35" s="36">
        <v>9</v>
      </c>
      <c r="H35" s="44" t="str">
        <f ca="1">IF(ISBLANK(INDIRECT(ADDRESS(K35*2+2,3))),"",INDIRECT(ADDRESS(K35*2+2,3)))</f>
        <v>Тихомирова</v>
      </c>
      <c r="I35" s="42"/>
      <c r="J35" s="42"/>
      <c r="K35" s="34">
        <v>5</v>
      </c>
      <c r="L35" s="37" t="s">
        <v>197</v>
      </c>
      <c r="M35" s="32">
        <v>3</v>
      </c>
    </row>
    <row r="36" spans="1:13" s="33" customFormat="1" ht="30" customHeight="1" thickBot="1" x14ac:dyDescent="0.4">
      <c r="A36" s="31"/>
      <c r="B36" s="34">
        <v>1</v>
      </c>
      <c r="C36" s="42" t="str">
        <f ca="1">IF(ISBLANK(INDIRECT(ADDRESS(B36*2+2,3))),"",INDIRECT(ADDRESS(B36*2+2,3)))</f>
        <v>Поляков</v>
      </c>
      <c r="D36" s="42"/>
      <c r="E36" s="43"/>
      <c r="F36" s="35">
        <v>13</v>
      </c>
      <c r="G36" s="36">
        <v>3</v>
      </c>
      <c r="H36" s="44" t="str">
        <f ca="1">IF(ISBLANK(INDIRECT(ADDRESS(K36*2+2,3))),"",INDIRECT(ADDRESS(K36*2+2,3)))</f>
        <v>Волков</v>
      </c>
      <c r="I36" s="42"/>
      <c r="J36" s="42"/>
      <c r="K36" s="34">
        <v>4</v>
      </c>
      <c r="L36" s="37" t="s">
        <v>197</v>
      </c>
      <c r="M36" s="32">
        <v>4</v>
      </c>
    </row>
    <row r="37" spans="1:13" s="33" customFormat="1" ht="30" customHeight="1" thickBot="1" x14ac:dyDescent="0.4">
      <c r="A37" s="31"/>
      <c r="B37" s="34">
        <v>2</v>
      </c>
      <c r="C37" s="42" t="str">
        <f ca="1">IF(ISBLANK(INDIRECT(ADDRESS(B37*2+2,3))),"",INDIRECT(ADDRESS(B37*2+2,3)))</f>
        <v>Полякова</v>
      </c>
      <c r="D37" s="42"/>
      <c r="E37" s="43"/>
      <c r="F37" s="35">
        <v>1</v>
      </c>
      <c r="G37" s="36">
        <v>13</v>
      </c>
      <c r="H37" s="44" t="str">
        <f ca="1">IF(ISBLANK(INDIRECT(ADDRESS(K37*2+2,3))),"",INDIRECT(ADDRESS(K37*2+2,3)))</f>
        <v>Гулинин</v>
      </c>
      <c r="I37" s="42"/>
      <c r="J37" s="42"/>
      <c r="K37" s="34">
        <v>3</v>
      </c>
      <c r="L37" s="37" t="s">
        <v>197</v>
      </c>
      <c r="M37" s="32">
        <v>5</v>
      </c>
    </row>
    <row r="38" spans="1:13" s="33" customFormat="1" ht="30" customHeight="1" x14ac:dyDescent="0.35">
      <c r="A38" s="31"/>
      <c r="M38" s="38"/>
    </row>
    <row r="39" spans="1:13" s="33" customFormat="1" ht="30" customHeight="1" thickBot="1" x14ac:dyDescent="0.4">
      <c r="A39" s="31"/>
      <c r="B39" s="45" t="s">
        <v>201</v>
      </c>
      <c r="C39" s="45"/>
      <c r="D39" s="45"/>
      <c r="E39" s="45"/>
      <c r="F39" s="45"/>
      <c r="G39" s="45"/>
      <c r="H39" s="45"/>
      <c r="I39" s="45"/>
      <c r="J39" s="45"/>
      <c r="K39" s="45"/>
      <c r="M39" s="38"/>
    </row>
    <row r="40" spans="1:13" s="33" customFormat="1" ht="30" customHeight="1" thickBot="1" x14ac:dyDescent="0.4">
      <c r="A40" s="31"/>
      <c r="B40" s="34">
        <v>3</v>
      </c>
      <c r="C40" s="42" t="str">
        <f ca="1">IF(ISBLANK(INDIRECT(ADDRESS(B40*2+2,3))),"",INDIRECT(ADDRESS(B40*2+2,3)))</f>
        <v>Гулинин</v>
      </c>
      <c r="D40" s="42"/>
      <c r="E40" s="43"/>
      <c r="F40" s="35">
        <v>13</v>
      </c>
      <c r="G40" s="36">
        <v>3</v>
      </c>
      <c r="H40" s="44" t="str">
        <f ca="1">IF(ISBLANK(INDIRECT(ADDRESS(K40*2+2,3))),"",INDIRECT(ADDRESS(K40*2+2,3)))</f>
        <v>Петраков</v>
      </c>
      <c r="I40" s="42"/>
      <c r="J40" s="42"/>
      <c r="K40" s="34">
        <v>6</v>
      </c>
      <c r="L40" s="37" t="s">
        <v>197</v>
      </c>
      <c r="M40" s="32">
        <v>7</v>
      </c>
    </row>
    <row r="41" spans="1:13" s="33" customFormat="1" ht="30" customHeight="1" thickBot="1" x14ac:dyDescent="0.4">
      <c r="A41" s="31"/>
      <c r="B41" s="34">
        <v>4</v>
      </c>
      <c r="C41" s="42" t="str">
        <f ca="1">IF(ISBLANK(INDIRECT(ADDRESS(B41*2+2,3))),"",INDIRECT(ADDRESS(B41*2+2,3)))</f>
        <v>Волков</v>
      </c>
      <c r="D41" s="42"/>
      <c r="E41" s="43"/>
      <c r="F41" s="35">
        <v>4</v>
      </c>
      <c r="G41" s="36">
        <v>13</v>
      </c>
      <c r="H41" s="44" t="str">
        <f ca="1">IF(ISBLANK(INDIRECT(ADDRESS(K41*2+2,3))),"",INDIRECT(ADDRESS(K41*2+2,3)))</f>
        <v>Полякова</v>
      </c>
      <c r="I41" s="42"/>
      <c r="J41" s="42"/>
      <c r="K41" s="34">
        <v>2</v>
      </c>
      <c r="L41" s="37" t="s">
        <v>197</v>
      </c>
      <c r="M41" s="32">
        <v>8</v>
      </c>
    </row>
    <row r="42" spans="1:13" s="33" customFormat="1" ht="30" customHeight="1" thickBot="1" x14ac:dyDescent="0.4">
      <c r="A42" s="31"/>
      <c r="B42" s="34">
        <v>5</v>
      </c>
      <c r="C42" s="42" t="str">
        <f ca="1">IF(ISBLANK(INDIRECT(ADDRESS(B42*2+2,3))),"",INDIRECT(ADDRESS(B42*2+2,3)))</f>
        <v>Тихомирова</v>
      </c>
      <c r="D42" s="42"/>
      <c r="E42" s="43"/>
      <c r="F42" s="35">
        <v>9</v>
      </c>
      <c r="G42" s="36">
        <v>10</v>
      </c>
      <c r="H42" s="44" t="str">
        <f ca="1">IF(ISBLANK(INDIRECT(ADDRESS(K42*2+2,3))),"",INDIRECT(ADDRESS(K42*2+2,3)))</f>
        <v>Поляков</v>
      </c>
      <c r="I42" s="42"/>
      <c r="J42" s="42"/>
      <c r="K42" s="34">
        <v>1</v>
      </c>
      <c r="L42" s="37" t="s">
        <v>197</v>
      </c>
      <c r="M42" s="32">
        <v>6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C10" sqref="C10:E11"/>
    </sheetView>
  </sheetViews>
  <sheetFormatPr defaultRowHeight="15" x14ac:dyDescent="0.25"/>
  <cols>
    <col min="1" max="1" width="4" style="8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1.5" x14ac:dyDescent="0.25">
      <c r="B1" s="64" t="s">
        <v>204</v>
      </c>
      <c r="C1" s="64"/>
      <c r="D1" s="64"/>
      <c r="E1" s="64"/>
      <c r="F1" s="64"/>
      <c r="G1" s="64"/>
      <c r="H1" s="64"/>
      <c r="I1" s="64"/>
      <c r="J1" s="64"/>
      <c r="K1" s="64"/>
      <c r="M1"/>
    </row>
    <row r="2" spans="2:13" ht="15.75" thickBot="1" x14ac:dyDescent="0.3">
      <c r="M2"/>
    </row>
    <row r="3" spans="2:13" ht="15.75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9" t="s">
        <v>192</v>
      </c>
      <c r="L3" s="10" t="s">
        <v>193</v>
      </c>
      <c r="M3" s="39" t="s">
        <v>194</v>
      </c>
    </row>
    <row r="4" spans="2:13" ht="21" x14ac:dyDescent="0.25">
      <c r="B4" s="68">
        <v>1</v>
      </c>
      <c r="C4" s="69" t="s">
        <v>185</v>
      </c>
      <c r="D4" s="70"/>
      <c r="E4" s="71"/>
      <c r="F4" s="14" t="s">
        <v>195</v>
      </c>
      <c r="G4" s="15" t="str">
        <f ca="1">INDIRECT(ADDRESS(23,6))&amp;":"&amp;INDIRECT(ADDRESS(23,7))</f>
        <v>5:13</v>
      </c>
      <c r="H4" s="15" t="str">
        <f ca="1">INDIRECT(ADDRESS(26,7))&amp;":"&amp;INDIRECT(ADDRESS(26,6))</f>
        <v>7:10</v>
      </c>
      <c r="I4" s="15" t="str">
        <f ca="1">INDIRECT(ADDRESS(30,6))&amp;":"&amp;INDIRECT(ADDRESS(30,7))</f>
        <v>8:11</v>
      </c>
      <c r="J4" s="16" t="str">
        <f ca="1">INDIRECT(ADDRESS(35,7))&amp;":"&amp;INDIRECT(ADDRESS(35,6))</f>
        <v>11:13</v>
      </c>
      <c r="K4" s="81">
        <f ca="1">IF(COUNT(F5:J5)=0,"",COUNTIF(F5:J5,"&gt;0")+0.5*COUNTIF(F5:J5,0))</f>
        <v>0</v>
      </c>
      <c r="L4" s="17"/>
      <c r="M4" s="80">
        <v>5</v>
      </c>
    </row>
    <row r="5" spans="2:13" ht="21" x14ac:dyDescent="0.25">
      <c r="B5" s="58"/>
      <c r="C5" s="48"/>
      <c r="D5" s="49"/>
      <c r="E5" s="50"/>
      <c r="F5" s="18" t="s">
        <v>195</v>
      </c>
      <c r="G5" s="19">
        <f ca="1">IF(LEN(INDIRECT(ADDRESS(ROW()-1, COLUMN())))=1,"",INDIRECT(ADDRESS(23,6))-INDIRECT(ADDRESS(23,7)))</f>
        <v>-8</v>
      </c>
      <c r="H5" s="19">
        <f ca="1">IF(LEN(INDIRECT(ADDRESS(ROW()-1, COLUMN())))=1,"",INDIRECT(ADDRESS(26,7))-INDIRECT(ADDRESS(26,6)))</f>
        <v>-3</v>
      </c>
      <c r="I5" s="19">
        <f ca="1">IF(LEN(INDIRECT(ADDRESS(ROW()-1, COLUMN())))=1,"",INDIRECT(ADDRESS(30,6))-INDIRECT(ADDRESS(30,7)))</f>
        <v>-3</v>
      </c>
      <c r="J5" s="20">
        <f ca="1">IF(LEN(INDIRECT(ADDRESS(ROW()-1, COLUMN())))=1,"",INDIRECT(ADDRESS(35,7))-INDIRECT(ADDRESS(35,6)))</f>
        <v>-2</v>
      </c>
      <c r="K5" s="76"/>
      <c r="L5" s="19">
        <f ca="1">IF(COUNT(F5:J5)=0,"",SUM(F5:J5))</f>
        <v>-16</v>
      </c>
      <c r="M5" s="77"/>
    </row>
    <row r="6" spans="2:13" ht="21" x14ac:dyDescent="0.25">
      <c r="B6" s="46">
        <v>2</v>
      </c>
      <c r="C6" s="48" t="s">
        <v>57</v>
      </c>
      <c r="D6" s="49"/>
      <c r="E6" s="50"/>
      <c r="F6" s="21" t="str">
        <f ca="1">INDIRECT(ADDRESS(23,7))&amp;":"&amp;INDIRECT(ADDRESS(23,6))</f>
        <v>13:5</v>
      </c>
      <c r="G6" s="22" t="s">
        <v>195</v>
      </c>
      <c r="H6" s="23" t="str">
        <f ca="1">INDIRECT(ADDRESS(31,6))&amp;":"&amp;INDIRECT(ADDRESS(31,7))</f>
        <v>10:3</v>
      </c>
      <c r="I6" s="23" t="str">
        <f ca="1">INDIRECT(ADDRESS(34,7))&amp;":"&amp;INDIRECT(ADDRESS(34,6))</f>
        <v>5:11</v>
      </c>
      <c r="J6" s="24" t="str">
        <f ca="1">INDIRECT(ADDRESS(18,6))&amp;":"&amp;INDIRECT(ADDRESS(18,7))</f>
        <v>6:7</v>
      </c>
      <c r="K6" s="76">
        <f ca="1">IF(COUNT(F7:J7)=0,"",COUNTIF(F7:J7,"&gt;0")+0.5*COUNTIF(F7:J7,0))</f>
        <v>2</v>
      </c>
      <c r="L6" s="19"/>
      <c r="M6" s="77">
        <v>4</v>
      </c>
    </row>
    <row r="7" spans="2:13" ht="21" x14ac:dyDescent="0.25">
      <c r="B7" s="58"/>
      <c r="C7" s="48"/>
      <c r="D7" s="49"/>
      <c r="E7" s="50"/>
      <c r="F7" s="25">
        <f ca="1">IF(LEN(INDIRECT(ADDRESS(ROW()-1, COLUMN())))=1,"",INDIRECT(ADDRESS(23,7))-INDIRECT(ADDRESS(23,6)))</f>
        <v>8</v>
      </c>
      <c r="G7" s="26" t="s">
        <v>195</v>
      </c>
      <c r="H7" s="19">
        <f ca="1">IF(LEN(INDIRECT(ADDRESS(ROW()-1, COLUMN())))=1,"",INDIRECT(ADDRESS(31,6))-INDIRECT(ADDRESS(31,7)))</f>
        <v>7</v>
      </c>
      <c r="I7" s="19">
        <f ca="1">IF(LEN(INDIRECT(ADDRESS(ROW()-1, COLUMN())))=1,"",INDIRECT(ADDRESS(34,7))-INDIRECT(ADDRESS(34,6)))</f>
        <v>-6</v>
      </c>
      <c r="J7" s="20">
        <f ca="1">IF(LEN(INDIRECT(ADDRESS(ROW()-1, COLUMN())))=1,"",INDIRECT(ADDRESS(18,6))-INDIRECT(ADDRESS(18,7)))</f>
        <v>-1</v>
      </c>
      <c r="K7" s="76"/>
      <c r="L7" s="19">
        <f ca="1">IF(COUNT(F7:J7)=0,"",SUM(F7:J7))</f>
        <v>8</v>
      </c>
      <c r="M7" s="77"/>
    </row>
    <row r="8" spans="2:13" ht="21" x14ac:dyDescent="0.25">
      <c r="B8" s="46">
        <v>3</v>
      </c>
      <c r="C8" s="60" t="s">
        <v>213</v>
      </c>
      <c r="D8" s="61"/>
      <c r="E8" s="62"/>
      <c r="F8" s="21" t="str">
        <f ca="1">INDIRECT(ADDRESS(26,6))&amp;":"&amp;INDIRECT(ADDRESS(26,7))</f>
        <v>10:7</v>
      </c>
      <c r="G8" s="23" t="str">
        <f ca="1">INDIRECT(ADDRESS(31,7))&amp;":"&amp;INDIRECT(ADDRESS(31,6))</f>
        <v>3:10</v>
      </c>
      <c r="H8" s="22" t="s">
        <v>195</v>
      </c>
      <c r="I8" s="23" t="str">
        <f ca="1">INDIRECT(ADDRESS(19,6))&amp;":"&amp;INDIRECT(ADDRESS(19,7))</f>
        <v>13:6</v>
      </c>
      <c r="J8" s="24" t="str">
        <f ca="1">INDIRECT(ADDRESS(22,7))&amp;":"&amp;INDIRECT(ADDRESS(22,6))</f>
        <v>13:0</v>
      </c>
      <c r="K8" s="76">
        <f ca="1">IF(COUNT(F9:J9)=0,"",COUNTIF(F9:J9,"&gt;0")+0.5*COUNTIF(F9:J9,0))</f>
        <v>3</v>
      </c>
      <c r="L8" s="19"/>
      <c r="M8" s="77">
        <v>1</v>
      </c>
    </row>
    <row r="9" spans="2:13" ht="21" x14ac:dyDescent="0.25">
      <c r="B9" s="58"/>
      <c r="C9" s="60"/>
      <c r="D9" s="61"/>
      <c r="E9" s="62"/>
      <c r="F9" s="25">
        <f ca="1">IF(LEN(INDIRECT(ADDRESS(ROW()-1, COLUMN())))=1,"",INDIRECT(ADDRESS(26,6))-INDIRECT(ADDRESS(26,7)))</f>
        <v>3</v>
      </c>
      <c r="G9" s="19">
        <f ca="1">IF(LEN(INDIRECT(ADDRESS(ROW()-1, COLUMN())))=1,"",INDIRECT(ADDRESS(31,7))-INDIRECT(ADDRESS(31,6)))</f>
        <v>-7</v>
      </c>
      <c r="H9" s="26" t="s">
        <v>195</v>
      </c>
      <c r="I9" s="19">
        <f ca="1">IF(LEN(INDIRECT(ADDRESS(ROW()-1, COLUMN())))=1,"",INDIRECT(ADDRESS(19,6))-INDIRECT(ADDRESS(19,7)))</f>
        <v>7</v>
      </c>
      <c r="J9" s="20">
        <f ca="1">IF(LEN(INDIRECT(ADDRESS(ROW()-1, COLUMN())))=1,"",INDIRECT(ADDRESS(22,7))-INDIRECT(ADDRESS(22,6)))</f>
        <v>13</v>
      </c>
      <c r="K9" s="76"/>
      <c r="L9" s="19">
        <f ca="1">IF(COUNT(F9:J9)=0,"",SUM(F9:J9))</f>
        <v>16</v>
      </c>
      <c r="M9" s="77"/>
    </row>
    <row r="10" spans="2:13" ht="21" x14ac:dyDescent="0.25">
      <c r="B10" s="46">
        <v>4</v>
      </c>
      <c r="C10" s="60" t="s">
        <v>176</v>
      </c>
      <c r="D10" s="61"/>
      <c r="E10" s="62"/>
      <c r="F10" s="21" t="str">
        <f ca="1">INDIRECT(ADDRESS(30,7))&amp;":"&amp;INDIRECT(ADDRESS(30,6))</f>
        <v>11:8</v>
      </c>
      <c r="G10" s="23" t="str">
        <f ca="1">INDIRECT(ADDRESS(34,6))&amp;":"&amp;INDIRECT(ADDRESS(34,7))</f>
        <v>11:5</v>
      </c>
      <c r="H10" s="23" t="str">
        <f ca="1">INDIRECT(ADDRESS(19,7))&amp;":"&amp;INDIRECT(ADDRESS(19,6))</f>
        <v>6:13</v>
      </c>
      <c r="I10" s="22" t="s">
        <v>195</v>
      </c>
      <c r="J10" s="24" t="str">
        <f ca="1">INDIRECT(ADDRESS(27,6))&amp;":"&amp;INDIRECT(ADDRESS(27,7))</f>
        <v>11:8</v>
      </c>
      <c r="K10" s="76">
        <f ca="1">IF(COUNT(F11:J11)=0,"",COUNTIF(F11:J11,"&gt;0")+0.5*COUNTIF(F11:J11,0))</f>
        <v>3</v>
      </c>
      <c r="L10" s="19"/>
      <c r="M10" s="77">
        <v>2</v>
      </c>
    </row>
    <row r="11" spans="2:13" ht="21" x14ac:dyDescent="0.25">
      <c r="B11" s="58"/>
      <c r="C11" s="60"/>
      <c r="D11" s="61"/>
      <c r="E11" s="62"/>
      <c r="F11" s="25">
        <f ca="1">IF(LEN(INDIRECT(ADDRESS(ROW()-1, COLUMN())))=1,"",INDIRECT(ADDRESS(30,7))-INDIRECT(ADDRESS(30,6)))</f>
        <v>3</v>
      </c>
      <c r="G11" s="19">
        <f ca="1">IF(LEN(INDIRECT(ADDRESS(ROW()-1, COLUMN())))=1,"",INDIRECT(ADDRESS(34,6))-INDIRECT(ADDRESS(34,7)))</f>
        <v>6</v>
      </c>
      <c r="H11" s="19">
        <f ca="1">IF(LEN(INDIRECT(ADDRESS(ROW()-1, COLUMN())))=1,"",INDIRECT(ADDRESS(19,7))-INDIRECT(ADDRESS(19,6)))</f>
        <v>-7</v>
      </c>
      <c r="I11" s="26" t="s">
        <v>195</v>
      </c>
      <c r="J11" s="20">
        <f ca="1">IF(LEN(INDIRECT(ADDRESS(ROW()-1, COLUMN())))=1,"",INDIRECT(ADDRESS(27,6))-INDIRECT(ADDRESS(27,7)))</f>
        <v>3</v>
      </c>
      <c r="K11" s="76"/>
      <c r="L11" s="19">
        <f ca="1">IF(COUNT(F11:J11)=0,"",SUM(F11:J11))</f>
        <v>5</v>
      </c>
      <c r="M11" s="77"/>
    </row>
    <row r="12" spans="2:13" ht="21" x14ac:dyDescent="0.25">
      <c r="B12" s="46">
        <v>5</v>
      </c>
      <c r="C12" s="48" t="s">
        <v>58</v>
      </c>
      <c r="D12" s="49"/>
      <c r="E12" s="50"/>
      <c r="F12" s="21" t="str">
        <f ca="1">INDIRECT(ADDRESS(35,6))&amp;":"&amp;INDIRECT(ADDRESS(35,7))</f>
        <v>13:11</v>
      </c>
      <c r="G12" s="23" t="str">
        <f ca="1">INDIRECT(ADDRESS(18,7))&amp;":"&amp;INDIRECT(ADDRESS(18,6))</f>
        <v>7:6</v>
      </c>
      <c r="H12" s="23" t="str">
        <f ca="1">INDIRECT(ADDRESS(22,6))&amp;":"&amp;INDIRECT(ADDRESS(22,7))</f>
        <v>0:13</v>
      </c>
      <c r="I12" s="23" t="str">
        <f ca="1">INDIRECT(ADDRESS(27,7))&amp;":"&amp;INDIRECT(ADDRESS(27,6))</f>
        <v>8:11</v>
      </c>
      <c r="J12" s="27" t="s">
        <v>195</v>
      </c>
      <c r="K12" s="76">
        <f ca="1">IF(COUNT(F13:J13)=0,"",COUNTIF(F13:J13,"&gt;0")+0.5*COUNTIF(F13:J13,0))</f>
        <v>2</v>
      </c>
      <c r="L12" s="19"/>
      <c r="M12" s="77">
        <v>3</v>
      </c>
    </row>
    <row r="13" spans="2:13" ht="21.75" thickBot="1" x14ac:dyDescent="0.3">
      <c r="B13" s="47"/>
      <c r="C13" s="51"/>
      <c r="D13" s="52"/>
      <c r="E13" s="53"/>
      <c r="F13" s="28">
        <f ca="1">IF(LEN(INDIRECT(ADDRESS(ROW()-1, COLUMN())))=1,"",INDIRECT(ADDRESS(35,6))-INDIRECT(ADDRESS(35,7)))</f>
        <v>2</v>
      </c>
      <c r="G13" s="29">
        <f ca="1">IF(LEN(INDIRECT(ADDRESS(ROW()-1, COLUMN())))=1,"",INDIRECT(ADDRESS(18,7))-INDIRECT(ADDRESS(18,6)))</f>
        <v>1</v>
      </c>
      <c r="H13" s="29">
        <f ca="1">IF(LEN(INDIRECT(ADDRESS(ROW()-1, COLUMN())))=1,"",INDIRECT(ADDRESS(22,6))-INDIRECT(ADDRESS(22,7)))</f>
        <v>-13</v>
      </c>
      <c r="I13" s="29">
        <f ca="1">IF(LEN(INDIRECT(ADDRESS(ROW()-1, COLUMN())))=1,"",INDIRECT(ADDRESS(27,7))-INDIRECT(ADDRESS(27,6)))</f>
        <v>-3</v>
      </c>
      <c r="J13" s="30" t="s">
        <v>195</v>
      </c>
      <c r="K13" s="78"/>
      <c r="L13" s="29">
        <f ca="1">IF(COUNT(F13:J13)=0,"",SUM(F13:J13))</f>
        <v>-13</v>
      </c>
      <c r="M13" s="79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3" customFormat="1" ht="21.75" thickBot="1" x14ac:dyDescent="0.4">
      <c r="A17" s="31"/>
      <c r="B17" s="45" t="s">
        <v>196</v>
      </c>
      <c r="C17" s="45"/>
      <c r="D17" s="45"/>
      <c r="E17" s="45"/>
      <c r="F17" s="45"/>
      <c r="G17" s="45"/>
      <c r="H17" s="45"/>
      <c r="I17" s="45"/>
      <c r="J17" s="45"/>
      <c r="K17" s="45"/>
      <c r="M17" s="40"/>
    </row>
    <row r="18" spans="1:13" s="33" customFormat="1" ht="21.75" thickBot="1" x14ac:dyDescent="0.4">
      <c r="A18" s="31"/>
      <c r="B18" s="34">
        <v>2</v>
      </c>
      <c r="C18" s="42" t="str">
        <f ca="1">IF(ISBLANK(INDIRECT(ADDRESS(B18*2+2,3))),"",INDIRECT(ADDRESS(B18*2+2,3)))</f>
        <v>Лукьянова</v>
      </c>
      <c r="D18" s="42"/>
      <c r="E18" s="43"/>
      <c r="F18" s="35">
        <v>6</v>
      </c>
      <c r="G18" s="36">
        <v>7</v>
      </c>
      <c r="H18" s="44" t="str">
        <f ca="1">IF(ISBLANK(INDIRECT(ADDRESS(K18*2+2,3))),"",INDIRECT(ADDRESS(K18*2+2,3)))</f>
        <v>Франк</v>
      </c>
      <c r="I18" s="42"/>
      <c r="J18" s="42"/>
      <c r="K18" s="34">
        <v>5</v>
      </c>
      <c r="L18" s="37" t="s">
        <v>197</v>
      </c>
      <c r="M18" s="32">
        <v>7</v>
      </c>
    </row>
    <row r="19" spans="1:13" s="33" customFormat="1" ht="21.75" thickBot="1" x14ac:dyDescent="0.4">
      <c r="A19" s="31"/>
      <c r="B19" s="34">
        <v>3</v>
      </c>
      <c r="C19" s="42" t="str">
        <f ca="1">IF(ISBLANK(INDIRECT(ADDRESS(B19*2+2,3))),"",INDIRECT(ADDRESS(B19*2+2,3)))</f>
        <v>Шундрин</v>
      </c>
      <c r="D19" s="42"/>
      <c r="E19" s="43"/>
      <c r="F19" s="35">
        <v>13</v>
      </c>
      <c r="G19" s="36">
        <v>6</v>
      </c>
      <c r="H19" s="44" t="str">
        <f ca="1">IF(ISBLANK(INDIRECT(ADDRESS(K19*2+2,3))),"",INDIRECT(ADDRESS(K19*2+2,3)))</f>
        <v>Волкова</v>
      </c>
      <c r="I19" s="42"/>
      <c r="J19" s="42"/>
      <c r="K19" s="34">
        <v>4</v>
      </c>
      <c r="L19" s="37" t="s">
        <v>197</v>
      </c>
      <c r="M19" s="32">
        <v>8</v>
      </c>
    </row>
    <row r="20" spans="1:13" s="33" customFormat="1" ht="21" x14ac:dyDescent="0.35">
      <c r="A20" s="31"/>
      <c r="M20" s="38"/>
    </row>
    <row r="21" spans="1:13" s="33" customFormat="1" ht="21.75" thickBot="1" x14ac:dyDescent="0.4">
      <c r="A21" s="31"/>
      <c r="B21" s="45" t="s">
        <v>198</v>
      </c>
      <c r="C21" s="45"/>
      <c r="D21" s="45"/>
      <c r="E21" s="45"/>
      <c r="F21" s="45"/>
      <c r="G21" s="45"/>
      <c r="H21" s="45"/>
      <c r="I21" s="45"/>
      <c r="J21" s="45"/>
      <c r="K21" s="45"/>
      <c r="M21" s="38"/>
    </row>
    <row r="22" spans="1:13" s="33" customFormat="1" ht="21.75" thickBot="1" x14ac:dyDescent="0.4">
      <c r="A22" s="31"/>
      <c r="B22" s="34">
        <v>5</v>
      </c>
      <c r="C22" s="42" t="str">
        <f ca="1">IF(ISBLANK(INDIRECT(ADDRESS(B22*2+2,3))),"",INDIRECT(ADDRESS(B22*2+2,3)))</f>
        <v>Франк</v>
      </c>
      <c r="D22" s="42"/>
      <c r="E22" s="43"/>
      <c r="F22" s="35">
        <v>0</v>
      </c>
      <c r="G22" s="36">
        <v>13</v>
      </c>
      <c r="H22" s="44" t="str">
        <f ca="1">IF(ISBLANK(INDIRECT(ADDRESS(K22*2+2,3))),"",INDIRECT(ADDRESS(K22*2+2,3)))</f>
        <v>Шундрин</v>
      </c>
      <c r="I22" s="42"/>
      <c r="J22" s="42"/>
      <c r="K22" s="34">
        <v>3</v>
      </c>
      <c r="L22" s="37" t="s">
        <v>197</v>
      </c>
      <c r="M22" s="32">
        <v>10</v>
      </c>
    </row>
    <row r="23" spans="1:13" s="33" customFormat="1" ht="21.75" thickBot="1" x14ac:dyDescent="0.4">
      <c r="A23" s="31"/>
      <c r="B23" s="34">
        <v>1</v>
      </c>
      <c r="C23" s="42" t="str">
        <f ca="1">IF(ISBLANK(INDIRECT(ADDRESS(B23*2+2,3))),"",INDIRECT(ADDRESS(B23*2+2,3)))</f>
        <v>Шапкин</v>
      </c>
      <c r="D23" s="42"/>
      <c r="E23" s="43"/>
      <c r="F23" s="35">
        <v>5</v>
      </c>
      <c r="G23" s="36">
        <v>13</v>
      </c>
      <c r="H23" s="44" t="str">
        <f ca="1">IF(ISBLANK(INDIRECT(ADDRESS(K23*2+2,3))),"",INDIRECT(ADDRESS(K23*2+2,3)))</f>
        <v>Лукьянова</v>
      </c>
      <c r="I23" s="42"/>
      <c r="J23" s="42"/>
      <c r="K23" s="34">
        <v>2</v>
      </c>
      <c r="L23" s="37" t="s">
        <v>197</v>
      </c>
      <c r="M23" s="32">
        <v>1</v>
      </c>
    </row>
    <row r="24" spans="1:13" s="33" customFormat="1" ht="21" x14ac:dyDescent="0.35">
      <c r="A24" s="31"/>
      <c r="M24" s="38"/>
    </row>
    <row r="25" spans="1:13" s="33" customFormat="1" ht="21.75" thickBot="1" x14ac:dyDescent="0.4">
      <c r="A25" s="31"/>
      <c r="B25" s="45" t="s">
        <v>199</v>
      </c>
      <c r="C25" s="45"/>
      <c r="D25" s="45"/>
      <c r="E25" s="45"/>
      <c r="F25" s="45"/>
      <c r="G25" s="45"/>
      <c r="H25" s="45"/>
      <c r="I25" s="45"/>
      <c r="J25" s="45"/>
      <c r="K25" s="45"/>
      <c r="M25" s="38"/>
    </row>
    <row r="26" spans="1:13" s="33" customFormat="1" ht="21.75" thickBot="1" x14ac:dyDescent="0.4">
      <c r="A26" s="31"/>
      <c r="B26" s="34">
        <v>3</v>
      </c>
      <c r="C26" s="42" t="str">
        <f ca="1">IF(ISBLANK(INDIRECT(ADDRESS(B26*2+2,3))),"",INDIRECT(ADDRESS(B26*2+2,3)))</f>
        <v>Шундрин</v>
      </c>
      <c r="D26" s="42"/>
      <c r="E26" s="43"/>
      <c r="F26" s="35">
        <v>10</v>
      </c>
      <c r="G26" s="36">
        <v>7</v>
      </c>
      <c r="H26" s="44" t="str">
        <f ca="1">IF(ISBLANK(INDIRECT(ADDRESS(K26*2+2,3))),"",INDIRECT(ADDRESS(K26*2+2,3)))</f>
        <v>Шапкин</v>
      </c>
      <c r="I26" s="42"/>
      <c r="J26" s="42"/>
      <c r="K26" s="34">
        <v>1</v>
      </c>
      <c r="L26" s="37" t="s">
        <v>197</v>
      </c>
      <c r="M26" s="32">
        <v>3</v>
      </c>
    </row>
    <row r="27" spans="1:13" s="33" customFormat="1" ht="21.75" thickBot="1" x14ac:dyDescent="0.4">
      <c r="A27" s="31"/>
      <c r="B27" s="34">
        <v>4</v>
      </c>
      <c r="C27" s="42" t="str">
        <f ca="1">IF(ISBLANK(INDIRECT(ADDRESS(B27*2+2,3))),"",INDIRECT(ADDRESS(B27*2+2,3)))</f>
        <v>Волкова</v>
      </c>
      <c r="D27" s="42"/>
      <c r="E27" s="43"/>
      <c r="F27" s="35">
        <v>11</v>
      </c>
      <c r="G27" s="36">
        <v>8</v>
      </c>
      <c r="H27" s="44" t="str">
        <f ca="1">IF(ISBLANK(INDIRECT(ADDRESS(K27*2+2,3))),"",INDIRECT(ADDRESS(K27*2+2,3)))</f>
        <v>Франк</v>
      </c>
      <c r="I27" s="42"/>
      <c r="J27" s="42"/>
      <c r="K27" s="34">
        <v>5</v>
      </c>
      <c r="L27" s="37" t="s">
        <v>197</v>
      </c>
      <c r="M27" s="32">
        <v>4</v>
      </c>
    </row>
    <row r="28" spans="1:13" s="33" customFormat="1" ht="21" x14ac:dyDescent="0.35">
      <c r="A28" s="31"/>
      <c r="M28" s="38"/>
    </row>
    <row r="29" spans="1:13" s="33" customFormat="1" ht="21.75" thickBot="1" x14ac:dyDescent="0.4">
      <c r="A29" s="31"/>
      <c r="B29" s="45" t="s">
        <v>200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21.75" thickBot="1" x14ac:dyDescent="0.4">
      <c r="A30" s="31"/>
      <c r="B30" s="34">
        <v>1</v>
      </c>
      <c r="C30" s="42" t="str">
        <f ca="1">IF(ISBLANK(INDIRECT(ADDRESS(B30*2+2,3))),"",INDIRECT(ADDRESS(B30*2+2,3)))</f>
        <v>Шапкин</v>
      </c>
      <c r="D30" s="42"/>
      <c r="E30" s="43"/>
      <c r="F30" s="35">
        <v>8</v>
      </c>
      <c r="G30" s="36">
        <v>11</v>
      </c>
      <c r="H30" s="44" t="str">
        <f ca="1">IF(ISBLANK(INDIRECT(ADDRESS(K30*2+2,3))),"",INDIRECT(ADDRESS(K30*2+2,3)))</f>
        <v>Волкова</v>
      </c>
      <c r="I30" s="42"/>
      <c r="J30" s="42"/>
      <c r="K30" s="34">
        <v>4</v>
      </c>
      <c r="L30" s="37" t="s">
        <v>197</v>
      </c>
      <c r="M30" s="32">
        <v>6</v>
      </c>
    </row>
    <row r="31" spans="1:13" s="33" customFormat="1" ht="21.75" thickBot="1" x14ac:dyDescent="0.4">
      <c r="A31" s="31"/>
      <c r="B31" s="34">
        <v>2</v>
      </c>
      <c r="C31" s="42" t="str">
        <f ca="1">IF(ISBLANK(INDIRECT(ADDRESS(B31*2+2,3))),"",INDIRECT(ADDRESS(B31*2+2,3)))</f>
        <v>Лукьянова</v>
      </c>
      <c r="D31" s="42"/>
      <c r="E31" s="43"/>
      <c r="F31" s="35">
        <v>10</v>
      </c>
      <c r="G31" s="36">
        <v>3</v>
      </c>
      <c r="H31" s="44" t="str">
        <f ca="1">IF(ISBLANK(INDIRECT(ADDRESS(K31*2+2,3))),"",INDIRECT(ADDRESS(K31*2+2,3)))</f>
        <v>Шундрин</v>
      </c>
      <c r="I31" s="42"/>
      <c r="J31" s="42"/>
      <c r="K31" s="34">
        <v>3</v>
      </c>
      <c r="L31" s="37" t="s">
        <v>197</v>
      </c>
      <c r="M31" s="32">
        <v>7</v>
      </c>
    </row>
    <row r="32" spans="1:13" s="33" customFormat="1" ht="21" x14ac:dyDescent="0.35">
      <c r="A32" s="31"/>
      <c r="M32" s="38"/>
    </row>
    <row r="33" spans="1:13" s="33" customFormat="1" ht="21.75" thickBot="1" x14ac:dyDescent="0.4">
      <c r="A33" s="31"/>
      <c r="B33" s="45" t="s">
        <v>201</v>
      </c>
      <c r="C33" s="45"/>
      <c r="D33" s="45"/>
      <c r="E33" s="45"/>
      <c r="F33" s="45"/>
      <c r="G33" s="45"/>
      <c r="H33" s="45"/>
      <c r="I33" s="45"/>
      <c r="J33" s="45"/>
      <c r="K33" s="45"/>
      <c r="M33" s="38"/>
    </row>
    <row r="34" spans="1:13" s="33" customFormat="1" ht="21.75" thickBot="1" x14ac:dyDescent="0.4">
      <c r="A34" s="31"/>
      <c r="B34" s="34">
        <v>4</v>
      </c>
      <c r="C34" s="42" t="str">
        <f ca="1">IF(ISBLANK(INDIRECT(ADDRESS(B34*2+2,3))),"",INDIRECT(ADDRESS(B34*2+2,3)))</f>
        <v>Волкова</v>
      </c>
      <c r="D34" s="42"/>
      <c r="E34" s="43"/>
      <c r="F34" s="35">
        <v>11</v>
      </c>
      <c r="G34" s="36">
        <v>5</v>
      </c>
      <c r="H34" s="44" t="str">
        <f ca="1">IF(ISBLANK(INDIRECT(ADDRESS(K34*2+2,3))),"",INDIRECT(ADDRESS(K34*2+2,3)))</f>
        <v>Лукьянова</v>
      </c>
      <c r="I34" s="42"/>
      <c r="J34" s="42"/>
      <c r="K34" s="34">
        <v>2</v>
      </c>
      <c r="L34" s="37" t="s">
        <v>197</v>
      </c>
      <c r="M34" s="32">
        <v>9</v>
      </c>
    </row>
    <row r="35" spans="1:13" s="33" customFormat="1" ht="21.75" thickBot="1" x14ac:dyDescent="0.4">
      <c r="A35" s="31"/>
      <c r="B35" s="34">
        <v>5</v>
      </c>
      <c r="C35" s="42" t="str">
        <f ca="1">IF(ISBLANK(INDIRECT(ADDRESS(B35*2+2,3))),"",INDIRECT(ADDRESS(B35*2+2,3)))</f>
        <v>Франк</v>
      </c>
      <c r="D35" s="42"/>
      <c r="E35" s="43"/>
      <c r="F35" s="35">
        <v>13</v>
      </c>
      <c r="G35" s="36">
        <v>11</v>
      </c>
      <c r="H35" s="44" t="str">
        <f ca="1">IF(ISBLANK(INDIRECT(ADDRESS(K35*2+2,3))),"",INDIRECT(ADDRESS(K35*2+2,3)))</f>
        <v>Шапкин</v>
      </c>
      <c r="I35" s="42"/>
      <c r="J35" s="42"/>
      <c r="K35" s="34">
        <v>1</v>
      </c>
      <c r="L35" s="37" t="s">
        <v>197</v>
      </c>
      <c r="M35" s="32">
        <v>10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C4" sqref="C4:E7"/>
    </sheetView>
  </sheetViews>
  <sheetFormatPr defaultRowHeight="15" x14ac:dyDescent="0.25"/>
  <cols>
    <col min="1" max="1" width="4" style="8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1.5" x14ac:dyDescent="0.25">
      <c r="B1" s="64" t="s">
        <v>205</v>
      </c>
      <c r="C1" s="64"/>
      <c r="D1" s="64"/>
      <c r="E1" s="64"/>
      <c r="F1" s="64"/>
      <c r="G1" s="64"/>
      <c r="H1" s="64"/>
      <c r="I1" s="64"/>
      <c r="J1" s="64"/>
      <c r="K1" s="64"/>
      <c r="M1"/>
    </row>
    <row r="2" spans="2:13" ht="15.75" thickBot="1" x14ac:dyDescent="0.3">
      <c r="M2"/>
    </row>
    <row r="3" spans="2:13" ht="15.75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9" t="s">
        <v>192</v>
      </c>
      <c r="L3" s="10" t="s">
        <v>193</v>
      </c>
      <c r="M3" s="39" t="s">
        <v>194</v>
      </c>
    </row>
    <row r="4" spans="2:13" ht="21" x14ac:dyDescent="0.25">
      <c r="B4" s="68">
        <v>1</v>
      </c>
      <c r="C4" s="73" t="s">
        <v>214</v>
      </c>
      <c r="D4" s="74"/>
      <c r="E4" s="75"/>
      <c r="F4" s="14" t="s">
        <v>195</v>
      </c>
      <c r="G4" s="15" t="str">
        <f ca="1">INDIRECT(ADDRESS(23,6))&amp;":"&amp;INDIRECT(ADDRESS(23,7))</f>
        <v>13:7</v>
      </c>
      <c r="H4" s="15" t="str">
        <f ca="1">INDIRECT(ADDRESS(26,7))&amp;":"&amp;INDIRECT(ADDRESS(26,6))</f>
        <v>12:5</v>
      </c>
      <c r="I4" s="15" t="str">
        <f ca="1">INDIRECT(ADDRESS(30,6))&amp;":"&amp;INDIRECT(ADDRESS(30,7))</f>
        <v>13:3</v>
      </c>
      <c r="J4" s="16" t="str">
        <f ca="1">INDIRECT(ADDRESS(35,7))&amp;":"&amp;INDIRECT(ADDRESS(35,6))</f>
        <v>13:7</v>
      </c>
      <c r="K4" s="81">
        <f ca="1">IF(COUNT(F5:J5)=0,"",COUNTIF(F5:J5,"&gt;0")+0.5*COUNTIF(F5:J5,0))</f>
        <v>4</v>
      </c>
      <c r="L4" s="17"/>
      <c r="M4" s="80">
        <v>1</v>
      </c>
    </row>
    <row r="5" spans="2:13" ht="2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COLUMN())))=1,"",INDIRECT(ADDRESS(23,6))-INDIRECT(ADDRESS(23,7)))</f>
        <v>6</v>
      </c>
      <c r="H5" s="19">
        <f ca="1">IF(LEN(INDIRECT(ADDRESS(ROW()-1, COLUMN())))=1,"",INDIRECT(ADDRESS(26,7))-INDIRECT(ADDRESS(26,6)))</f>
        <v>7</v>
      </c>
      <c r="I5" s="19">
        <f ca="1">IF(LEN(INDIRECT(ADDRESS(ROW()-1, COLUMN())))=1,"",INDIRECT(ADDRESS(30,6))-INDIRECT(ADDRESS(30,7)))</f>
        <v>10</v>
      </c>
      <c r="J5" s="20">
        <f ca="1">IF(LEN(INDIRECT(ADDRESS(ROW()-1, COLUMN())))=1,"",INDIRECT(ADDRESS(35,7))-INDIRECT(ADDRESS(35,6)))</f>
        <v>6</v>
      </c>
      <c r="K5" s="76"/>
      <c r="L5" s="19">
        <f ca="1">IF(COUNT(F5:J5)=0,"",SUM(F5:J5))</f>
        <v>29</v>
      </c>
      <c r="M5" s="77"/>
    </row>
    <row r="6" spans="2:13" ht="21" x14ac:dyDescent="0.25">
      <c r="B6" s="46">
        <v>2</v>
      </c>
      <c r="C6" s="60" t="s">
        <v>215</v>
      </c>
      <c r="D6" s="61"/>
      <c r="E6" s="62"/>
      <c r="F6" s="21" t="str">
        <f ca="1">INDIRECT(ADDRESS(23,7))&amp;":"&amp;INDIRECT(ADDRESS(23,6))</f>
        <v>7:13</v>
      </c>
      <c r="G6" s="22" t="s">
        <v>195</v>
      </c>
      <c r="H6" s="23" t="str">
        <f ca="1">INDIRECT(ADDRESS(31,6))&amp;":"&amp;INDIRECT(ADDRESS(31,7))</f>
        <v>12:9</v>
      </c>
      <c r="I6" s="23" t="str">
        <f ca="1">INDIRECT(ADDRESS(34,7))&amp;":"&amp;INDIRECT(ADDRESS(34,6))</f>
        <v>13:3</v>
      </c>
      <c r="J6" s="24" t="str">
        <f ca="1">INDIRECT(ADDRESS(18,6))&amp;":"&amp;INDIRECT(ADDRESS(18,7))</f>
        <v>13:7</v>
      </c>
      <c r="K6" s="76">
        <f ca="1">IF(COUNT(F7:J7)=0,"",COUNTIF(F7:J7,"&gt;0")+0.5*COUNTIF(F7:J7,0))</f>
        <v>3</v>
      </c>
      <c r="L6" s="19"/>
      <c r="M6" s="77">
        <v>2</v>
      </c>
    </row>
    <row r="7" spans="2:13" ht="21" x14ac:dyDescent="0.25">
      <c r="B7" s="58"/>
      <c r="C7" s="60"/>
      <c r="D7" s="61"/>
      <c r="E7" s="62"/>
      <c r="F7" s="25">
        <f ca="1">IF(LEN(INDIRECT(ADDRESS(ROW()-1, COLUMN())))=1,"",INDIRECT(ADDRESS(23,7))-INDIRECT(ADDRESS(23,6)))</f>
        <v>-6</v>
      </c>
      <c r="G7" s="26" t="s">
        <v>195</v>
      </c>
      <c r="H7" s="19">
        <f ca="1">IF(LEN(INDIRECT(ADDRESS(ROW()-1, COLUMN())))=1,"",INDIRECT(ADDRESS(31,6))-INDIRECT(ADDRESS(31,7)))</f>
        <v>3</v>
      </c>
      <c r="I7" s="19">
        <f ca="1">IF(LEN(INDIRECT(ADDRESS(ROW()-1, COLUMN())))=1,"",INDIRECT(ADDRESS(34,7))-INDIRECT(ADDRESS(34,6)))</f>
        <v>10</v>
      </c>
      <c r="J7" s="20">
        <f ca="1">IF(LEN(INDIRECT(ADDRESS(ROW()-1, COLUMN())))=1,"",INDIRECT(ADDRESS(18,6))-INDIRECT(ADDRESS(18,7)))</f>
        <v>6</v>
      </c>
      <c r="K7" s="76"/>
      <c r="L7" s="19">
        <f ca="1">IF(COUNT(F7:J7)=0,"",SUM(F7:J7))</f>
        <v>13</v>
      </c>
      <c r="M7" s="77"/>
    </row>
    <row r="8" spans="2:13" ht="21" x14ac:dyDescent="0.25">
      <c r="B8" s="46">
        <v>3</v>
      </c>
      <c r="C8" s="48" t="s">
        <v>45</v>
      </c>
      <c r="D8" s="49"/>
      <c r="E8" s="50"/>
      <c r="F8" s="21" t="str">
        <f ca="1">INDIRECT(ADDRESS(26,6))&amp;":"&amp;INDIRECT(ADDRESS(26,7))</f>
        <v>5:12</v>
      </c>
      <c r="G8" s="23" t="str">
        <f ca="1">INDIRECT(ADDRESS(31,7))&amp;":"&amp;INDIRECT(ADDRESS(31,6))</f>
        <v>9:12</v>
      </c>
      <c r="H8" s="22" t="s">
        <v>195</v>
      </c>
      <c r="I8" s="23" t="str">
        <f ca="1">INDIRECT(ADDRESS(19,6))&amp;":"&amp;INDIRECT(ADDRESS(19,7))</f>
        <v>13:4</v>
      </c>
      <c r="J8" s="24" t="str">
        <f ca="1">INDIRECT(ADDRESS(22,7))&amp;":"&amp;INDIRECT(ADDRESS(22,6))</f>
        <v>13:7</v>
      </c>
      <c r="K8" s="76">
        <f ca="1">IF(COUNT(F9:J9)=0,"",COUNTIF(F9:J9,"&gt;0")+0.5*COUNTIF(F9:J9,0))</f>
        <v>2</v>
      </c>
      <c r="L8" s="19"/>
      <c r="M8" s="77">
        <v>3</v>
      </c>
    </row>
    <row r="9" spans="2:13" ht="21" x14ac:dyDescent="0.25">
      <c r="B9" s="58"/>
      <c r="C9" s="48"/>
      <c r="D9" s="49"/>
      <c r="E9" s="50"/>
      <c r="F9" s="25">
        <f ca="1">IF(LEN(INDIRECT(ADDRESS(ROW()-1, COLUMN())))=1,"",INDIRECT(ADDRESS(26,6))-INDIRECT(ADDRESS(26,7)))</f>
        <v>-7</v>
      </c>
      <c r="G9" s="19">
        <f ca="1">IF(LEN(INDIRECT(ADDRESS(ROW()-1, COLUMN())))=1,"",INDIRECT(ADDRESS(31,7))-INDIRECT(ADDRESS(31,6)))</f>
        <v>-3</v>
      </c>
      <c r="H9" s="26" t="s">
        <v>195</v>
      </c>
      <c r="I9" s="19">
        <f ca="1">IF(LEN(INDIRECT(ADDRESS(ROW()-1, COLUMN())))=1,"",INDIRECT(ADDRESS(19,6))-INDIRECT(ADDRESS(19,7)))</f>
        <v>9</v>
      </c>
      <c r="J9" s="20">
        <f ca="1">IF(LEN(INDIRECT(ADDRESS(ROW()-1, COLUMN())))=1,"",INDIRECT(ADDRESS(22,7))-INDIRECT(ADDRESS(22,6)))</f>
        <v>6</v>
      </c>
      <c r="K9" s="76"/>
      <c r="L9" s="19">
        <f ca="1">IF(COUNT(F9:J9)=0,"",SUM(F9:J9))</f>
        <v>5</v>
      </c>
      <c r="M9" s="77"/>
    </row>
    <row r="10" spans="2:13" ht="21" x14ac:dyDescent="0.25">
      <c r="B10" s="46">
        <v>4</v>
      </c>
      <c r="C10" s="48" t="s">
        <v>63</v>
      </c>
      <c r="D10" s="49"/>
      <c r="E10" s="50"/>
      <c r="F10" s="21" t="str">
        <f ca="1">INDIRECT(ADDRESS(30,7))&amp;":"&amp;INDIRECT(ADDRESS(30,6))</f>
        <v>3:13</v>
      </c>
      <c r="G10" s="23" t="str">
        <f ca="1">INDIRECT(ADDRESS(34,6))&amp;":"&amp;INDIRECT(ADDRESS(34,7))</f>
        <v>3:13</v>
      </c>
      <c r="H10" s="23" t="str">
        <f ca="1">INDIRECT(ADDRESS(19,7))&amp;":"&amp;INDIRECT(ADDRESS(19,6))</f>
        <v>4:13</v>
      </c>
      <c r="I10" s="22" t="s">
        <v>195</v>
      </c>
      <c r="J10" s="24" t="str">
        <f ca="1">INDIRECT(ADDRESS(27,6))&amp;":"&amp;INDIRECT(ADDRESS(27,7))</f>
        <v>6:12</v>
      </c>
      <c r="K10" s="76">
        <f ca="1">IF(COUNT(F11:J11)=0,"",COUNTIF(F11:J11,"&gt;0")+0.5*COUNTIF(F11:J11,0))</f>
        <v>0</v>
      </c>
      <c r="L10" s="19"/>
      <c r="M10" s="77">
        <v>5</v>
      </c>
    </row>
    <row r="11" spans="2:13" ht="21" x14ac:dyDescent="0.25">
      <c r="B11" s="58"/>
      <c r="C11" s="48"/>
      <c r="D11" s="49"/>
      <c r="E11" s="50"/>
      <c r="F11" s="25">
        <f ca="1">IF(LEN(INDIRECT(ADDRESS(ROW()-1, COLUMN())))=1,"",INDIRECT(ADDRESS(30,7))-INDIRECT(ADDRESS(30,6)))</f>
        <v>-10</v>
      </c>
      <c r="G11" s="19">
        <f ca="1">IF(LEN(INDIRECT(ADDRESS(ROW()-1, COLUMN())))=1,"",INDIRECT(ADDRESS(34,6))-INDIRECT(ADDRESS(34,7)))</f>
        <v>-10</v>
      </c>
      <c r="H11" s="19">
        <f ca="1">IF(LEN(INDIRECT(ADDRESS(ROW()-1, COLUMN())))=1,"",INDIRECT(ADDRESS(19,7))-INDIRECT(ADDRESS(19,6)))</f>
        <v>-9</v>
      </c>
      <c r="I11" s="26" t="s">
        <v>195</v>
      </c>
      <c r="J11" s="20">
        <f ca="1">IF(LEN(INDIRECT(ADDRESS(ROW()-1, COLUMN())))=1,"",INDIRECT(ADDRESS(27,6))-INDIRECT(ADDRESS(27,7)))</f>
        <v>-6</v>
      </c>
      <c r="K11" s="76"/>
      <c r="L11" s="19">
        <f ca="1">IF(COUNT(F11:J11)=0,"",SUM(F11:J11))</f>
        <v>-35</v>
      </c>
      <c r="M11" s="77"/>
    </row>
    <row r="12" spans="2:13" ht="21" x14ac:dyDescent="0.25">
      <c r="B12" s="46">
        <v>5</v>
      </c>
      <c r="C12" s="48" t="s">
        <v>54</v>
      </c>
      <c r="D12" s="49"/>
      <c r="E12" s="50"/>
      <c r="F12" s="21" t="str">
        <f ca="1">INDIRECT(ADDRESS(35,6))&amp;":"&amp;INDIRECT(ADDRESS(35,7))</f>
        <v>7:13</v>
      </c>
      <c r="G12" s="23" t="str">
        <f ca="1">INDIRECT(ADDRESS(18,7))&amp;":"&amp;INDIRECT(ADDRESS(18,6))</f>
        <v>7:13</v>
      </c>
      <c r="H12" s="23" t="str">
        <f ca="1">INDIRECT(ADDRESS(22,6))&amp;":"&amp;INDIRECT(ADDRESS(22,7))</f>
        <v>7:13</v>
      </c>
      <c r="I12" s="23" t="str">
        <f ca="1">INDIRECT(ADDRESS(27,7))&amp;":"&amp;INDIRECT(ADDRESS(27,6))</f>
        <v>12:6</v>
      </c>
      <c r="J12" s="27" t="s">
        <v>195</v>
      </c>
      <c r="K12" s="76">
        <f ca="1">IF(COUNT(F13:J13)=0,"",COUNTIF(F13:J13,"&gt;0")+0.5*COUNTIF(F13:J13,0))</f>
        <v>1</v>
      </c>
      <c r="L12" s="19"/>
      <c r="M12" s="77">
        <v>4</v>
      </c>
    </row>
    <row r="13" spans="2:13" ht="21.75" thickBot="1" x14ac:dyDescent="0.3">
      <c r="B13" s="47"/>
      <c r="C13" s="51"/>
      <c r="D13" s="52"/>
      <c r="E13" s="53"/>
      <c r="F13" s="28">
        <f ca="1">IF(LEN(INDIRECT(ADDRESS(ROW()-1, COLUMN())))=1,"",INDIRECT(ADDRESS(35,6))-INDIRECT(ADDRESS(35,7)))</f>
        <v>-6</v>
      </c>
      <c r="G13" s="29">
        <f ca="1">IF(LEN(INDIRECT(ADDRESS(ROW()-1, COLUMN())))=1,"",INDIRECT(ADDRESS(18,7))-INDIRECT(ADDRESS(18,6)))</f>
        <v>-6</v>
      </c>
      <c r="H13" s="29">
        <f ca="1">IF(LEN(INDIRECT(ADDRESS(ROW()-1, COLUMN())))=1,"",INDIRECT(ADDRESS(22,6))-INDIRECT(ADDRESS(22,7)))</f>
        <v>-6</v>
      </c>
      <c r="I13" s="29">
        <f ca="1">IF(LEN(INDIRECT(ADDRESS(ROW()-1, COLUMN())))=1,"",INDIRECT(ADDRESS(27,7))-INDIRECT(ADDRESS(27,6)))</f>
        <v>6</v>
      </c>
      <c r="J13" s="30" t="s">
        <v>195</v>
      </c>
      <c r="K13" s="78"/>
      <c r="L13" s="29">
        <f ca="1">IF(COUNT(F13:J13)=0,"",SUM(F13:J13))</f>
        <v>-12</v>
      </c>
      <c r="M13" s="79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3" customFormat="1" ht="21.75" thickBot="1" x14ac:dyDescent="0.4">
      <c r="A17" s="31"/>
      <c r="B17" s="45" t="s">
        <v>196</v>
      </c>
      <c r="C17" s="45"/>
      <c r="D17" s="45"/>
      <c r="E17" s="45"/>
      <c r="F17" s="45"/>
      <c r="G17" s="45"/>
      <c r="H17" s="45"/>
      <c r="I17" s="45"/>
      <c r="J17" s="45"/>
      <c r="K17" s="45"/>
      <c r="M17" s="40"/>
    </row>
    <row r="18" spans="1:13" s="33" customFormat="1" ht="21.75" thickBot="1" x14ac:dyDescent="0.4">
      <c r="A18" s="31"/>
      <c r="B18" s="34">
        <v>2</v>
      </c>
      <c r="C18" s="42" t="str">
        <f ca="1">IF(ISBLANK(INDIRECT(ADDRESS(B18*2+2,3))),"",INDIRECT(ADDRESS(B18*2+2,3)))</f>
        <v>Петрушко Ю.</v>
      </c>
      <c r="D18" s="42"/>
      <c r="E18" s="43"/>
      <c r="F18" s="35">
        <v>13</v>
      </c>
      <c r="G18" s="36">
        <v>7</v>
      </c>
      <c r="H18" s="44" t="str">
        <f ca="1">IF(ISBLANK(INDIRECT(ADDRESS(K18*2+2,3))),"",INDIRECT(ADDRESS(K18*2+2,3)))</f>
        <v>Воробьева</v>
      </c>
      <c r="I18" s="42"/>
      <c r="J18" s="42"/>
      <c r="K18" s="34">
        <v>5</v>
      </c>
      <c r="L18" s="37" t="s">
        <v>197</v>
      </c>
      <c r="M18" s="32">
        <v>9</v>
      </c>
    </row>
    <row r="19" spans="1:13" s="33" customFormat="1" ht="21.75" thickBot="1" x14ac:dyDescent="0.4">
      <c r="A19" s="31"/>
      <c r="B19" s="34">
        <v>3</v>
      </c>
      <c r="C19" s="42" t="str">
        <f ca="1">IF(ISBLANK(INDIRECT(ADDRESS(B19*2+2,3))),"",INDIRECT(ADDRESS(B19*2+2,3)))</f>
        <v>Тихонов</v>
      </c>
      <c r="D19" s="42"/>
      <c r="E19" s="43"/>
      <c r="F19" s="35">
        <v>13</v>
      </c>
      <c r="G19" s="36">
        <v>4</v>
      </c>
      <c r="H19" s="44" t="str">
        <f ca="1">IF(ISBLANK(INDIRECT(ADDRESS(K19*2+2,3))),"",INDIRECT(ADDRESS(K19*2+2,3)))</f>
        <v>Костяная</v>
      </c>
      <c r="I19" s="42"/>
      <c r="J19" s="42"/>
      <c r="K19" s="34">
        <v>4</v>
      </c>
      <c r="L19" s="37" t="s">
        <v>197</v>
      </c>
      <c r="M19" s="32">
        <v>10</v>
      </c>
    </row>
    <row r="20" spans="1:13" s="33" customFormat="1" ht="21" x14ac:dyDescent="0.35">
      <c r="A20" s="31"/>
      <c r="M20" s="38"/>
    </row>
    <row r="21" spans="1:13" s="33" customFormat="1" ht="21.75" thickBot="1" x14ac:dyDescent="0.4">
      <c r="A21" s="31"/>
      <c r="B21" s="45" t="s">
        <v>198</v>
      </c>
      <c r="C21" s="45"/>
      <c r="D21" s="45"/>
      <c r="E21" s="45"/>
      <c r="F21" s="45"/>
      <c r="G21" s="45"/>
      <c r="H21" s="45"/>
      <c r="I21" s="45"/>
      <c r="J21" s="45"/>
      <c r="K21" s="45"/>
      <c r="M21" s="38"/>
    </row>
    <row r="22" spans="1:13" s="33" customFormat="1" ht="21.75" thickBot="1" x14ac:dyDescent="0.4">
      <c r="A22" s="31"/>
      <c r="B22" s="34">
        <v>5</v>
      </c>
      <c r="C22" s="42" t="str">
        <f ca="1">IF(ISBLANK(INDIRECT(ADDRESS(B22*2+2,3))),"",INDIRECT(ADDRESS(B22*2+2,3)))</f>
        <v>Воробьева</v>
      </c>
      <c r="D22" s="42"/>
      <c r="E22" s="43"/>
      <c r="F22" s="35">
        <v>7</v>
      </c>
      <c r="G22" s="36">
        <v>13</v>
      </c>
      <c r="H22" s="44" t="str">
        <f ca="1">IF(ISBLANK(INDIRECT(ADDRESS(K22*2+2,3))),"",INDIRECT(ADDRESS(K22*2+2,3)))</f>
        <v>Тихонов</v>
      </c>
      <c r="I22" s="42"/>
      <c r="J22" s="42"/>
      <c r="K22" s="34">
        <v>3</v>
      </c>
      <c r="L22" s="37" t="s">
        <v>197</v>
      </c>
      <c r="M22" s="32">
        <v>2</v>
      </c>
    </row>
    <row r="23" spans="1:13" s="33" customFormat="1" ht="21.75" thickBot="1" x14ac:dyDescent="0.4">
      <c r="A23" s="31"/>
      <c r="B23" s="34">
        <v>1</v>
      </c>
      <c r="C23" s="42" t="str">
        <f ca="1">IF(ISBLANK(INDIRECT(ADDRESS(B23*2+2,3))),"",INDIRECT(ADDRESS(B23*2+2,3)))</f>
        <v>Петрушко Ал.</v>
      </c>
      <c r="D23" s="42"/>
      <c r="E23" s="43"/>
      <c r="F23" s="35">
        <v>13</v>
      </c>
      <c r="G23" s="36">
        <v>7</v>
      </c>
      <c r="H23" s="44" t="str">
        <f ca="1">IF(ISBLANK(INDIRECT(ADDRESS(K23*2+2,3))),"",INDIRECT(ADDRESS(K23*2+2,3)))</f>
        <v>Петрушко Ю.</v>
      </c>
      <c r="I23" s="42"/>
      <c r="J23" s="42"/>
      <c r="K23" s="34">
        <v>2</v>
      </c>
      <c r="L23" s="37" t="s">
        <v>197</v>
      </c>
      <c r="M23" s="32">
        <v>3</v>
      </c>
    </row>
    <row r="24" spans="1:13" s="33" customFormat="1" ht="21" x14ac:dyDescent="0.35">
      <c r="A24" s="31"/>
      <c r="M24" s="38"/>
    </row>
    <row r="25" spans="1:13" s="33" customFormat="1" ht="21.75" thickBot="1" x14ac:dyDescent="0.4">
      <c r="A25" s="31"/>
      <c r="B25" s="45" t="s">
        <v>199</v>
      </c>
      <c r="C25" s="45"/>
      <c r="D25" s="45"/>
      <c r="E25" s="45"/>
      <c r="F25" s="45"/>
      <c r="G25" s="45"/>
      <c r="H25" s="45"/>
      <c r="I25" s="45"/>
      <c r="J25" s="45"/>
      <c r="K25" s="45"/>
      <c r="M25" s="38"/>
    </row>
    <row r="26" spans="1:13" s="33" customFormat="1" ht="21.75" thickBot="1" x14ac:dyDescent="0.4">
      <c r="A26" s="31"/>
      <c r="B26" s="34">
        <v>3</v>
      </c>
      <c r="C26" s="42" t="str">
        <f ca="1">IF(ISBLANK(INDIRECT(ADDRESS(B26*2+2,3))),"",INDIRECT(ADDRESS(B26*2+2,3)))</f>
        <v>Тихонов</v>
      </c>
      <c r="D26" s="42"/>
      <c r="E26" s="43"/>
      <c r="F26" s="35">
        <v>5</v>
      </c>
      <c r="G26" s="36">
        <v>12</v>
      </c>
      <c r="H26" s="44" t="str">
        <f ca="1">IF(ISBLANK(INDIRECT(ADDRESS(K26*2+2,3))),"",INDIRECT(ADDRESS(K26*2+2,3)))</f>
        <v>Петрушко Ал.</v>
      </c>
      <c r="I26" s="42"/>
      <c r="J26" s="42"/>
      <c r="K26" s="34">
        <v>1</v>
      </c>
      <c r="L26" s="37" t="s">
        <v>197</v>
      </c>
      <c r="M26" s="32">
        <v>5</v>
      </c>
    </row>
    <row r="27" spans="1:13" s="33" customFormat="1" ht="21.75" thickBot="1" x14ac:dyDescent="0.4">
      <c r="A27" s="31"/>
      <c r="B27" s="34">
        <v>4</v>
      </c>
      <c r="C27" s="42" t="str">
        <f ca="1">IF(ISBLANK(INDIRECT(ADDRESS(B27*2+2,3))),"",INDIRECT(ADDRESS(B27*2+2,3)))</f>
        <v>Костяная</v>
      </c>
      <c r="D27" s="42"/>
      <c r="E27" s="43"/>
      <c r="F27" s="35">
        <v>6</v>
      </c>
      <c r="G27" s="36">
        <v>12</v>
      </c>
      <c r="H27" s="44" t="str">
        <f ca="1">IF(ISBLANK(INDIRECT(ADDRESS(K27*2+2,3))),"",INDIRECT(ADDRESS(K27*2+2,3)))</f>
        <v>Воробьева</v>
      </c>
      <c r="I27" s="42"/>
      <c r="J27" s="42"/>
      <c r="K27" s="34">
        <v>5</v>
      </c>
      <c r="L27" s="37" t="s">
        <v>197</v>
      </c>
      <c r="M27" s="32">
        <v>6</v>
      </c>
    </row>
    <row r="28" spans="1:13" s="33" customFormat="1" ht="21" x14ac:dyDescent="0.35">
      <c r="A28" s="31"/>
      <c r="M28" s="38"/>
    </row>
    <row r="29" spans="1:13" s="33" customFormat="1" ht="21.75" thickBot="1" x14ac:dyDescent="0.4">
      <c r="A29" s="31"/>
      <c r="B29" s="45" t="s">
        <v>200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21.75" thickBot="1" x14ac:dyDescent="0.4">
      <c r="A30" s="31"/>
      <c r="B30" s="34">
        <v>1</v>
      </c>
      <c r="C30" s="42" t="str">
        <f ca="1">IF(ISBLANK(INDIRECT(ADDRESS(B30*2+2,3))),"",INDIRECT(ADDRESS(B30*2+2,3)))</f>
        <v>Петрушко Ал.</v>
      </c>
      <c r="D30" s="42"/>
      <c r="E30" s="43"/>
      <c r="F30" s="35">
        <v>13</v>
      </c>
      <c r="G30" s="36">
        <v>3</v>
      </c>
      <c r="H30" s="44" t="str">
        <f ca="1">IF(ISBLANK(INDIRECT(ADDRESS(K30*2+2,3))),"",INDIRECT(ADDRESS(K30*2+2,3)))</f>
        <v>Костяная</v>
      </c>
      <c r="I30" s="42"/>
      <c r="J30" s="42"/>
      <c r="K30" s="34">
        <v>4</v>
      </c>
      <c r="L30" s="37" t="s">
        <v>197</v>
      </c>
      <c r="M30" s="32">
        <v>8</v>
      </c>
    </row>
    <row r="31" spans="1:13" s="33" customFormat="1" ht="21.75" thickBot="1" x14ac:dyDescent="0.4">
      <c r="A31" s="31"/>
      <c r="B31" s="34">
        <v>2</v>
      </c>
      <c r="C31" s="42" t="str">
        <f ca="1">IF(ISBLANK(INDIRECT(ADDRESS(B31*2+2,3))),"",INDIRECT(ADDRESS(B31*2+2,3)))</f>
        <v>Петрушко Ю.</v>
      </c>
      <c r="D31" s="42"/>
      <c r="E31" s="43"/>
      <c r="F31" s="35">
        <v>12</v>
      </c>
      <c r="G31" s="36">
        <v>9</v>
      </c>
      <c r="H31" s="44" t="str">
        <f ca="1">IF(ISBLANK(INDIRECT(ADDRESS(K31*2+2,3))),"",INDIRECT(ADDRESS(K31*2+2,3)))</f>
        <v>Тихонов</v>
      </c>
      <c r="I31" s="42"/>
      <c r="J31" s="42"/>
      <c r="K31" s="34">
        <v>3</v>
      </c>
      <c r="L31" s="37" t="s">
        <v>197</v>
      </c>
      <c r="M31" s="32">
        <v>9</v>
      </c>
    </row>
    <row r="32" spans="1:13" s="33" customFormat="1" ht="21" x14ac:dyDescent="0.35">
      <c r="A32" s="31"/>
      <c r="M32" s="38"/>
    </row>
    <row r="33" spans="1:13" s="33" customFormat="1" ht="21.75" thickBot="1" x14ac:dyDescent="0.4">
      <c r="A33" s="31"/>
      <c r="B33" s="45" t="s">
        <v>201</v>
      </c>
      <c r="C33" s="45"/>
      <c r="D33" s="45"/>
      <c r="E33" s="45"/>
      <c r="F33" s="45"/>
      <c r="G33" s="45"/>
      <c r="H33" s="45"/>
      <c r="I33" s="45"/>
      <c r="J33" s="45"/>
      <c r="K33" s="45"/>
      <c r="M33" s="38"/>
    </row>
    <row r="34" spans="1:13" s="33" customFormat="1" ht="21.75" thickBot="1" x14ac:dyDescent="0.4">
      <c r="A34" s="31"/>
      <c r="B34" s="34">
        <v>4</v>
      </c>
      <c r="C34" s="42" t="str">
        <f ca="1">IF(ISBLANK(INDIRECT(ADDRESS(B34*2+2,3))),"",INDIRECT(ADDRESS(B34*2+2,3)))</f>
        <v>Костяная</v>
      </c>
      <c r="D34" s="42"/>
      <c r="E34" s="43"/>
      <c r="F34" s="35">
        <v>3</v>
      </c>
      <c r="G34" s="36">
        <v>13</v>
      </c>
      <c r="H34" s="44" t="str">
        <f ca="1">IF(ISBLANK(INDIRECT(ADDRESS(K34*2+2,3))),"",INDIRECT(ADDRESS(K34*2+2,3)))</f>
        <v>Петрушко Ю.</v>
      </c>
      <c r="I34" s="42"/>
      <c r="J34" s="42"/>
      <c r="K34" s="34">
        <v>2</v>
      </c>
      <c r="L34" s="37" t="s">
        <v>197</v>
      </c>
      <c r="M34" s="32">
        <v>1</v>
      </c>
    </row>
    <row r="35" spans="1:13" s="33" customFormat="1" ht="21.75" thickBot="1" x14ac:dyDescent="0.4">
      <c r="A35" s="31"/>
      <c r="B35" s="34">
        <v>5</v>
      </c>
      <c r="C35" s="42" t="str">
        <f ca="1">IF(ISBLANK(INDIRECT(ADDRESS(B35*2+2,3))),"",INDIRECT(ADDRESS(B35*2+2,3)))</f>
        <v>Воробьева</v>
      </c>
      <c r="D35" s="42"/>
      <c r="E35" s="43"/>
      <c r="F35" s="35">
        <v>7</v>
      </c>
      <c r="G35" s="36">
        <v>13</v>
      </c>
      <c r="H35" s="44" t="str">
        <f ca="1">IF(ISBLANK(INDIRECT(ADDRESS(K35*2+2,3))),"",INDIRECT(ADDRESS(K35*2+2,3)))</f>
        <v>Петрушко Ал.</v>
      </c>
      <c r="I35" s="42"/>
      <c r="J35" s="42"/>
      <c r="K35" s="34">
        <v>1</v>
      </c>
      <c r="L35" s="37" t="s">
        <v>197</v>
      </c>
      <c r="M35" s="32">
        <v>2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4" workbookViewId="0">
      <selection activeCell="C6" sqref="C6:E7"/>
    </sheetView>
  </sheetViews>
  <sheetFormatPr defaultRowHeight="15" x14ac:dyDescent="0.25"/>
  <cols>
    <col min="1" max="1" width="4" style="8" customWidth="1"/>
    <col min="2" max="15" width="10.28515625" customWidth="1"/>
  </cols>
  <sheetData>
    <row r="1" spans="2:14" ht="38.25" customHeight="1" x14ac:dyDescent="0.25">
      <c r="B1" s="64" t="s">
        <v>208</v>
      </c>
      <c r="C1" s="64"/>
      <c r="D1" s="64"/>
      <c r="E1" s="64"/>
      <c r="F1" s="64"/>
      <c r="G1" s="64"/>
      <c r="H1" s="64"/>
      <c r="I1" s="64"/>
      <c r="J1" s="64"/>
      <c r="K1" s="64"/>
    </row>
    <row r="2" spans="2:14" ht="15.75" thickBot="1" x14ac:dyDescent="0.3"/>
    <row r="3" spans="2:14" ht="30" customHeight="1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11">
        <v>6</v>
      </c>
      <c r="L3" s="12" t="s">
        <v>192</v>
      </c>
      <c r="M3" s="10" t="s">
        <v>193</v>
      </c>
      <c r="N3" s="13" t="s">
        <v>194</v>
      </c>
    </row>
    <row r="4" spans="2:14" ht="24" customHeight="1" x14ac:dyDescent="0.25">
      <c r="B4" s="68">
        <v>1</v>
      </c>
      <c r="C4" s="73" t="s">
        <v>179</v>
      </c>
      <c r="D4" s="74"/>
      <c r="E4" s="75"/>
      <c r="F4" s="14" t="s">
        <v>195</v>
      </c>
      <c r="G4" s="15" t="str">
        <f ca="1">INDIRECT(ADDRESS(27,6))&amp;":"&amp;INDIRECT(ADDRESS(27,7))</f>
        <v>13:11</v>
      </c>
      <c r="H4" s="15" t="str">
        <f ca="1">INDIRECT(ADDRESS(31,7))&amp;":"&amp;INDIRECT(ADDRESS(31,6))</f>
        <v>13:12</v>
      </c>
      <c r="I4" s="15" t="str">
        <f ca="1">INDIRECT(ADDRESS(36,6))&amp;":"&amp;INDIRECT(ADDRESS(36,7))</f>
        <v>13:8</v>
      </c>
      <c r="J4" s="15" t="str">
        <f ca="1">INDIRECT(ADDRESS(42,7))&amp;":"&amp;INDIRECT(ADDRESS(42,6))</f>
        <v>7:9</v>
      </c>
      <c r="K4" s="16" t="str">
        <f ca="1">INDIRECT(ADDRESS(20,6))&amp;":"&amp;INDIRECT(ADDRESS(20,7))</f>
        <v>11:13</v>
      </c>
      <c r="L4" s="72">
        <f ca="1">IF(COUNT(F5:K5)=0,"",COUNTIF(F5:K5,"&gt;0")+0.5*COUNTIF(F5:K5,0))</f>
        <v>3</v>
      </c>
      <c r="M4" s="17"/>
      <c r="N4" s="63">
        <v>2</v>
      </c>
    </row>
    <row r="5" spans="2:14" ht="24" customHeight="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COLUMN())))=1,"",INDIRECT(ADDRESS(27,6))-INDIRECT(ADDRESS(27,7)))</f>
        <v>2</v>
      </c>
      <c r="H5" s="19">
        <f ca="1">IF(LEN(INDIRECT(ADDRESS(ROW()-1, COLUMN())))=1,"",INDIRECT(ADDRESS(31,7))-INDIRECT(ADDRESS(31,6)))</f>
        <v>1</v>
      </c>
      <c r="I5" s="19">
        <f ca="1">IF(LEN(INDIRECT(ADDRESS(ROW()-1, COLUMN())))=1,"",INDIRECT(ADDRESS(36,6))-INDIRECT(ADDRESS(36,7)))</f>
        <v>5</v>
      </c>
      <c r="J5" s="19">
        <f ca="1">IF(LEN(INDIRECT(ADDRESS(ROW()-1, COLUMN())))=1,"",INDIRECT(ADDRESS(42,7))-INDIRECT(ADDRESS(42,6)))</f>
        <v>-2</v>
      </c>
      <c r="K5" s="20">
        <f ca="1">IF(LEN(INDIRECT(ADDRESS(ROW()-1, COLUMN())))=1,"",INDIRECT(ADDRESS(20,6))-INDIRECT(ADDRESS(20,7)))</f>
        <v>-2</v>
      </c>
      <c r="L5" s="54"/>
      <c r="M5" s="19">
        <f ca="1">IF(COUNT(F5:K5)=0,"",SUM(F5:K5))</f>
        <v>4</v>
      </c>
      <c r="N5" s="59"/>
    </row>
    <row r="6" spans="2:14" ht="24" customHeight="1" x14ac:dyDescent="0.25">
      <c r="B6" s="46">
        <v>2</v>
      </c>
      <c r="C6" s="60" t="s">
        <v>53</v>
      </c>
      <c r="D6" s="61"/>
      <c r="E6" s="62"/>
      <c r="F6" s="21" t="str">
        <f ca="1">INDIRECT(ADDRESS(27,7))&amp;":"&amp;INDIRECT(ADDRESS(27,6))</f>
        <v>11:13</v>
      </c>
      <c r="G6" s="22" t="s">
        <v>195</v>
      </c>
      <c r="H6" s="23" t="str">
        <f ca="1">INDIRECT(ADDRESS(37,6))&amp;":"&amp;INDIRECT(ADDRESS(37,7))</f>
        <v>8:10</v>
      </c>
      <c r="I6" s="23" t="str">
        <f ca="1">INDIRECT(ADDRESS(41,7))&amp;":"&amp;INDIRECT(ADDRESS(41,6))</f>
        <v>13:1</v>
      </c>
      <c r="J6" s="23" t="str">
        <f ca="1">INDIRECT(ADDRESS(21,6))&amp;":"&amp;INDIRECT(ADDRESS(21,7))</f>
        <v>13:5</v>
      </c>
      <c r="K6" s="24" t="str">
        <f ca="1">INDIRECT(ADDRESS(30,6))&amp;":"&amp;INDIRECT(ADDRESS(30,7))</f>
        <v>13:3</v>
      </c>
      <c r="L6" s="54">
        <f ca="1">IF(COUNT(F7:K7)=0,"",COUNTIF(F7:K7,"&gt;0")+0.5*COUNTIF(F7:K7,0))</f>
        <v>3</v>
      </c>
      <c r="M6" s="19"/>
      <c r="N6" s="56">
        <v>3</v>
      </c>
    </row>
    <row r="7" spans="2:14" ht="24" customHeight="1" x14ac:dyDescent="0.25">
      <c r="B7" s="58"/>
      <c r="C7" s="60"/>
      <c r="D7" s="61"/>
      <c r="E7" s="62"/>
      <c r="F7" s="25">
        <f ca="1">IF(LEN(INDIRECT(ADDRESS(ROW()-1, COLUMN())))=1,"",INDIRECT(ADDRESS(27,7))-INDIRECT(ADDRESS(27,6)))</f>
        <v>-2</v>
      </c>
      <c r="G7" s="26" t="s">
        <v>195</v>
      </c>
      <c r="H7" s="19">
        <f ca="1">IF(LEN(INDIRECT(ADDRESS(ROW()-1, COLUMN())))=1,"",INDIRECT(ADDRESS(37,6))-INDIRECT(ADDRESS(37,7)))</f>
        <v>-2</v>
      </c>
      <c r="I7" s="19">
        <f ca="1">IF(LEN(INDIRECT(ADDRESS(ROW()-1, COLUMN())))=1,"",INDIRECT(ADDRESS(41,7))-INDIRECT(ADDRESS(41,6)))</f>
        <v>12</v>
      </c>
      <c r="J7" s="19">
        <f ca="1">IF(LEN(INDIRECT(ADDRESS(ROW()-1, COLUMN())))=1,"",INDIRECT(ADDRESS(21,6))-INDIRECT(ADDRESS(21,7)))</f>
        <v>8</v>
      </c>
      <c r="K7" s="20">
        <f ca="1">IF(LEN(INDIRECT(ADDRESS(ROW()-1, COLUMN())))=1,"",INDIRECT(ADDRESS(30,6))-INDIRECT(ADDRESS(30,7)))</f>
        <v>10</v>
      </c>
      <c r="L7" s="54"/>
      <c r="M7" s="19">
        <f ca="1">IF(COUNT(F7:K7)=0,"",SUM(F7:K7))</f>
        <v>26</v>
      </c>
      <c r="N7" s="59"/>
    </row>
    <row r="8" spans="2:14" ht="24" customHeight="1" x14ac:dyDescent="0.25">
      <c r="B8" s="46">
        <v>3</v>
      </c>
      <c r="C8" s="48" t="s">
        <v>175</v>
      </c>
      <c r="D8" s="49"/>
      <c r="E8" s="50"/>
      <c r="F8" s="21" t="str">
        <f ca="1">INDIRECT(ADDRESS(31,6))&amp;":"&amp;INDIRECT(ADDRESS(31,7))</f>
        <v>12:13</v>
      </c>
      <c r="G8" s="23" t="str">
        <f ca="1">INDIRECT(ADDRESS(37,7))&amp;":"&amp;INDIRECT(ADDRESS(37,6))</f>
        <v>10:8</v>
      </c>
      <c r="H8" s="22" t="s">
        <v>195</v>
      </c>
      <c r="I8" s="23" t="str">
        <f ca="1">INDIRECT(ADDRESS(22,6))&amp;":"&amp;INDIRECT(ADDRESS(22,7))</f>
        <v>7:13</v>
      </c>
      <c r="J8" s="23" t="str">
        <f ca="1">INDIRECT(ADDRESS(26,7))&amp;":"&amp;INDIRECT(ADDRESS(26,6))</f>
        <v>9:13</v>
      </c>
      <c r="K8" s="24" t="str">
        <f ca="1">INDIRECT(ADDRESS(40,6))&amp;":"&amp;INDIRECT(ADDRESS(40,7))</f>
        <v>2:13</v>
      </c>
      <c r="L8" s="54">
        <f ca="1">IF(COUNT(F9:K9)=0,"",COUNTIF(F9:K9,"&gt;0")+0.5*COUNTIF(F9:K9,0))</f>
        <v>1</v>
      </c>
      <c r="M8" s="19"/>
      <c r="N8" s="56">
        <v>6</v>
      </c>
    </row>
    <row r="9" spans="2:14" ht="24" customHeight="1" x14ac:dyDescent="0.25">
      <c r="B9" s="58"/>
      <c r="C9" s="48"/>
      <c r="D9" s="49"/>
      <c r="E9" s="50"/>
      <c r="F9" s="25">
        <f ca="1">IF(LEN(INDIRECT(ADDRESS(ROW()-1, COLUMN())))=1,"",INDIRECT(ADDRESS(31,6))-INDIRECT(ADDRESS(31,7)))</f>
        <v>-1</v>
      </c>
      <c r="G9" s="19">
        <f ca="1">IF(LEN(INDIRECT(ADDRESS(ROW()-1, COLUMN())))=1,"",INDIRECT(ADDRESS(37,7))-INDIRECT(ADDRESS(37,6)))</f>
        <v>2</v>
      </c>
      <c r="H9" s="26" t="s">
        <v>195</v>
      </c>
      <c r="I9" s="19">
        <f ca="1">IF(LEN(INDIRECT(ADDRESS(ROW()-1, COLUMN())))=1,"",INDIRECT(ADDRESS(22,6))-INDIRECT(ADDRESS(22,7)))</f>
        <v>-6</v>
      </c>
      <c r="J9" s="19">
        <f ca="1">IF(LEN(INDIRECT(ADDRESS(ROW()-1, COLUMN())))=1,"",INDIRECT(ADDRESS(26,7))-INDIRECT(ADDRESS(26,6)))</f>
        <v>-4</v>
      </c>
      <c r="K9" s="20">
        <f ca="1">IF(LEN(INDIRECT(ADDRESS(ROW()-1, COLUMN())))=1,"",INDIRECT(ADDRESS(40,6))-INDIRECT(ADDRESS(40,7)))</f>
        <v>-11</v>
      </c>
      <c r="L9" s="54"/>
      <c r="M9" s="19">
        <f ca="1">IF(COUNT(F9:K9)=0,"",SUM(F9:K9))</f>
        <v>-20</v>
      </c>
      <c r="N9" s="59"/>
    </row>
    <row r="10" spans="2:14" ht="24" customHeight="1" x14ac:dyDescent="0.25">
      <c r="B10" s="46">
        <v>4</v>
      </c>
      <c r="C10" s="48" t="s">
        <v>184</v>
      </c>
      <c r="D10" s="49"/>
      <c r="E10" s="50"/>
      <c r="F10" s="21" t="str">
        <f ca="1">INDIRECT(ADDRESS(36,7))&amp;":"&amp;INDIRECT(ADDRESS(36,6))</f>
        <v>8:13</v>
      </c>
      <c r="G10" s="23" t="str">
        <f ca="1">INDIRECT(ADDRESS(41,6))&amp;":"&amp;INDIRECT(ADDRESS(41,7))</f>
        <v>1:13</v>
      </c>
      <c r="H10" s="23" t="str">
        <f ca="1">INDIRECT(ADDRESS(22,7))&amp;":"&amp;INDIRECT(ADDRESS(22,6))</f>
        <v>13:7</v>
      </c>
      <c r="I10" s="22" t="s">
        <v>195</v>
      </c>
      <c r="J10" s="23" t="str">
        <f ca="1">INDIRECT(ADDRESS(32,6))&amp;":"&amp;INDIRECT(ADDRESS(32,7))</f>
        <v>13:1</v>
      </c>
      <c r="K10" s="24" t="str">
        <f ca="1">INDIRECT(ADDRESS(25,7))&amp;":"&amp;INDIRECT(ADDRESS(25,6))</f>
        <v>6:13</v>
      </c>
      <c r="L10" s="54">
        <f ca="1">IF(COUNT(F11:K11)=0,"",COUNTIF(F11:K11,"&gt;0")+0.5*COUNTIF(F11:K11,0))</f>
        <v>2</v>
      </c>
      <c r="M10" s="19"/>
      <c r="N10" s="56">
        <v>4</v>
      </c>
    </row>
    <row r="11" spans="2:14" ht="24" customHeight="1" x14ac:dyDescent="0.25">
      <c r="B11" s="58"/>
      <c r="C11" s="48"/>
      <c r="D11" s="49"/>
      <c r="E11" s="50"/>
      <c r="F11" s="25">
        <f ca="1">IF(LEN(INDIRECT(ADDRESS(ROW()-1, COLUMN())))=1,"",INDIRECT(ADDRESS(36,7))-INDIRECT(ADDRESS(36,6)))</f>
        <v>-5</v>
      </c>
      <c r="G11" s="19">
        <f ca="1">IF(LEN(INDIRECT(ADDRESS(ROW()-1, COLUMN())))=1,"",INDIRECT(ADDRESS(41,6))-INDIRECT(ADDRESS(41,7)))</f>
        <v>-12</v>
      </c>
      <c r="H11" s="19">
        <f ca="1">IF(LEN(INDIRECT(ADDRESS(ROW()-1, COLUMN())))=1,"",INDIRECT(ADDRESS(22,7))-INDIRECT(ADDRESS(22,6)))</f>
        <v>6</v>
      </c>
      <c r="I11" s="26" t="s">
        <v>195</v>
      </c>
      <c r="J11" s="19">
        <f ca="1">IF(LEN(INDIRECT(ADDRESS(ROW()-1, COLUMN())))=1,"",INDIRECT(ADDRESS(32,6))-INDIRECT(ADDRESS(32,7)))</f>
        <v>12</v>
      </c>
      <c r="K11" s="20">
        <f ca="1">IF(LEN(INDIRECT(ADDRESS(ROW()-1, COLUMN())))=1,"",INDIRECT(ADDRESS(25,7))-INDIRECT(ADDRESS(25,6)))</f>
        <v>-7</v>
      </c>
      <c r="L11" s="54"/>
      <c r="M11" s="19">
        <f ca="1">IF(COUNT(F11:K11)=0,"",SUM(F11:K11))</f>
        <v>-6</v>
      </c>
      <c r="N11" s="59"/>
    </row>
    <row r="12" spans="2:14" ht="24" customHeight="1" x14ac:dyDescent="0.25">
      <c r="B12" s="46">
        <v>5</v>
      </c>
      <c r="C12" s="48" t="s">
        <v>177</v>
      </c>
      <c r="D12" s="49"/>
      <c r="E12" s="50"/>
      <c r="F12" s="21" t="str">
        <f ca="1">INDIRECT(ADDRESS(42,6))&amp;":"&amp;INDIRECT(ADDRESS(42,7))</f>
        <v>9:7</v>
      </c>
      <c r="G12" s="23" t="str">
        <f ca="1">INDIRECT(ADDRESS(21,7))&amp;":"&amp;INDIRECT(ADDRESS(21,6))</f>
        <v>5:13</v>
      </c>
      <c r="H12" s="23" t="str">
        <f ca="1">INDIRECT(ADDRESS(26,6))&amp;":"&amp;INDIRECT(ADDRESS(26,7))</f>
        <v>13:9</v>
      </c>
      <c r="I12" s="23" t="str">
        <f ca="1">INDIRECT(ADDRESS(32,7))&amp;":"&amp;INDIRECT(ADDRESS(32,6))</f>
        <v>1:13</v>
      </c>
      <c r="J12" s="22" t="s">
        <v>195</v>
      </c>
      <c r="K12" s="24" t="str">
        <f ca="1">INDIRECT(ADDRESS(35,7))&amp;":"&amp;INDIRECT(ADDRESS(35,6))</f>
        <v>2:13</v>
      </c>
      <c r="L12" s="54">
        <f ca="1">IF(COUNT(F13:K13)=0,"",COUNTIF(F13:K13,"&gt;0")+0.5*COUNTIF(F13:K13,0))</f>
        <v>2</v>
      </c>
      <c r="M12" s="19"/>
      <c r="N12" s="56">
        <v>5</v>
      </c>
    </row>
    <row r="13" spans="2:14" ht="24" customHeight="1" x14ac:dyDescent="0.25">
      <c r="B13" s="58"/>
      <c r="C13" s="48"/>
      <c r="D13" s="49"/>
      <c r="E13" s="50"/>
      <c r="F13" s="25">
        <f ca="1">IF(LEN(INDIRECT(ADDRESS(ROW()-1, COLUMN())))=1,"",INDIRECT(ADDRESS(42,6))-INDIRECT(ADDRESS(42,7)))</f>
        <v>2</v>
      </c>
      <c r="G13" s="19">
        <f ca="1">IF(LEN(INDIRECT(ADDRESS(ROW()-1, COLUMN())))=1,"",INDIRECT(ADDRESS(21,7))-INDIRECT(ADDRESS(21,6)))</f>
        <v>-8</v>
      </c>
      <c r="H13" s="19">
        <f ca="1">IF(LEN(INDIRECT(ADDRESS(ROW()-1, COLUMN())))=1,"",INDIRECT(ADDRESS(26,6))-INDIRECT(ADDRESS(26,7)))</f>
        <v>4</v>
      </c>
      <c r="I13" s="19">
        <f ca="1">IF(LEN(INDIRECT(ADDRESS(ROW()-1, COLUMN())))=1,"",INDIRECT(ADDRESS(32,7))-INDIRECT(ADDRESS(32,6)))</f>
        <v>-12</v>
      </c>
      <c r="J13" s="26" t="s">
        <v>195</v>
      </c>
      <c r="K13" s="20">
        <f ca="1">IF(LEN(INDIRECT(ADDRESS(ROW()-1, COLUMN())))=1,"",INDIRECT(ADDRESS(35,7))-INDIRECT(ADDRESS(35,6)))</f>
        <v>-11</v>
      </c>
      <c r="L13" s="54"/>
      <c r="M13" s="19">
        <f ca="1">IF(COUNT(F13:K13)=0,"",SUM(F13:K13))</f>
        <v>-25</v>
      </c>
      <c r="N13" s="59"/>
    </row>
    <row r="14" spans="2:14" ht="24" customHeight="1" x14ac:dyDescent="0.25">
      <c r="B14" s="46">
        <v>6</v>
      </c>
      <c r="C14" s="60" t="s">
        <v>183</v>
      </c>
      <c r="D14" s="61"/>
      <c r="E14" s="62"/>
      <c r="F14" s="21" t="str">
        <f ca="1">INDIRECT(ADDRESS(20,7))&amp;":"&amp;INDIRECT(ADDRESS(20,6))</f>
        <v>13:11</v>
      </c>
      <c r="G14" s="23" t="str">
        <f ca="1">INDIRECT(ADDRESS(30,7))&amp;":"&amp;INDIRECT(ADDRESS(30,6))</f>
        <v>3:13</v>
      </c>
      <c r="H14" s="23" t="str">
        <f ca="1">INDIRECT(ADDRESS(40,7))&amp;":"&amp;INDIRECT(ADDRESS(40,6))</f>
        <v>13:2</v>
      </c>
      <c r="I14" s="23" t="str">
        <f ca="1">INDIRECT(ADDRESS(25,6))&amp;":"&amp;INDIRECT(ADDRESS(25,7))</f>
        <v>13:6</v>
      </c>
      <c r="J14" s="23" t="str">
        <f ca="1">INDIRECT(ADDRESS(35,6))&amp;":"&amp;INDIRECT(ADDRESS(35,7))</f>
        <v>13:2</v>
      </c>
      <c r="K14" s="27" t="s">
        <v>195</v>
      </c>
      <c r="L14" s="54">
        <f ca="1">IF(COUNT(F15:K15)=0,"",COUNTIF(F15:K15,"&gt;0")+0.5*COUNTIF(F15:K15,0))</f>
        <v>4</v>
      </c>
      <c r="M14" s="19"/>
      <c r="N14" s="56">
        <v>1</v>
      </c>
    </row>
    <row r="15" spans="2:14" ht="24" customHeight="1" thickBot="1" x14ac:dyDescent="0.3">
      <c r="B15" s="47"/>
      <c r="C15" s="82"/>
      <c r="D15" s="83"/>
      <c r="E15" s="84"/>
      <c r="F15" s="28">
        <f ca="1">IF(LEN(INDIRECT(ADDRESS(ROW()-1, COLUMN())))=1,"",INDIRECT(ADDRESS(20,7))-INDIRECT(ADDRESS(20,6)))</f>
        <v>2</v>
      </c>
      <c r="G15" s="29">
        <f ca="1">IF(LEN(INDIRECT(ADDRESS(ROW()-1, COLUMN())))=1,"",INDIRECT(ADDRESS(30,7))-INDIRECT(ADDRESS(30,6)))</f>
        <v>-10</v>
      </c>
      <c r="H15" s="29">
        <f ca="1">IF(LEN(INDIRECT(ADDRESS(ROW()-1, COLUMN())))=1,"",INDIRECT(ADDRESS(40,7))-INDIRECT(ADDRESS(40,6)))</f>
        <v>11</v>
      </c>
      <c r="I15" s="29">
        <f ca="1">IF(LEN(INDIRECT(ADDRESS(ROW()-1, COLUMN())))=1,"",INDIRECT(ADDRESS(25,6))-INDIRECT(ADDRESS(25,7)))</f>
        <v>7</v>
      </c>
      <c r="J15" s="29">
        <f ca="1">IF(LEN(INDIRECT(ADDRESS(ROW()-1, COLUMN())))=1,"",INDIRECT(ADDRESS(35,6))-INDIRECT(ADDRESS(35,7)))</f>
        <v>11</v>
      </c>
      <c r="K15" s="30" t="s">
        <v>195</v>
      </c>
      <c r="L15" s="55"/>
      <c r="M15" s="29">
        <f ca="1">IF(COUNT(F15:K15)=0,"",SUM(F15:K15))</f>
        <v>21</v>
      </c>
      <c r="N15" s="57"/>
    </row>
    <row r="19" spans="1:13" s="33" customFormat="1" ht="30" customHeight="1" thickBot="1" x14ac:dyDescent="0.4">
      <c r="A19" s="31"/>
      <c r="B19" s="45" t="s">
        <v>196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3" s="33" customFormat="1" ht="30" customHeight="1" thickBot="1" x14ac:dyDescent="0.4">
      <c r="A20" s="31"/>
      <c r="B20" s="34">
        <v>1</v>
      </c>
      <c r="C20" s="42" t="str">
        <f ca="1">IF(ISBLANK(INDIRECT(ADDRESS(B20*2+2,3))),"",INDIRECT(ADDRESS(B20*2+2,3)))</f>
        <v>Каргашин</v>
      </c>
      <c r="D20" s="42"/>
      <c r="E20" s="43"/>
      <c r="F20" s="35">
        <v>11</v>
      </c>
      <c r="G20" s="36">
        <v>13</v>
      </c>
      <c r="H20" s="44" t="str">
        <f ca="1">IF(ISBLANK(INDIRECT(ADDRESS(K20*2+2,3))),"",INDIRECT(ADDRESS(K20*2+2,3)))</f>
        <v>Царегородцев</v>
      </c>
      <c r="I20" s="42"/>
      <c r="J20" s="42"/>
      <c r="K20" s="34">
        <v>6</v>
      </c>
      <c r="L20" s="37" t="s">
        <v>197</v>
      </c>
      <c r="M20" s="32"/>
    </row>
    <row r="21" spans="1:13" s="33" customFormat="1" ht="30" customHeight="1" thickBot="1" x14ac:dyDescent="0.4">
      <c r="A21" s="31"/>
      <c r="B21" s="34">
        <v>2</v>
      </c>
      <c r="C21" s="42" t="str">
        <f ca="1">IF(ISBLANK(INDIRECT(ADDRESS(B21*2+2,3))),"",INDIRECT(ADDRESS(B21*2+2,3)))</f>
        <v>Зубова</v>
      </c>
      <c r="D21" s="42"/>
      <c r="E21" s="43"/>
      <c r="F21" s="35">
        <v>13</v>
      </c>
      <c r="G21" s="36">
        <v>5</v>
      </c>
      <c r="H21" s="44" t="str">
        <f ca="1">IF(ISBLANK(INDIRECT(ADDRESS(K21*2+2,3))),"",INDIRECT(ADDRESS(K21*2+2,3)))</f>
        <v>Волчек</v>
      </c>
      <c r="I21" s="42"/>
      <c r="J21" s="42"/>
      <c r="K21" s="34">
        <v>5</v>
      </c>
      <c r="L21" s="37" t="s">
        <v>197</v>
      </c>
      <c r="M21" s="32"/>
    </row>
    <row r="22" spans="1:13" s="33" customFormat="1" ht="30" customHeight="1" thickBot="1" x14ac:dyDescent="0.4">
      <c r="A22" s="31"/>
      <c r="B22" s="34">
        <v>3</v>
      </c>
      <c r="C22" s="42" t="str">
        <f ca="1">IF(ISBLANK(INDIRECT(ADDRESS(B22*2+2,3))),"",INDIRECT(ADDRESS(B22*2+2,3)))</f>
        <v>Гаджиев</v>
      </c>
      <c r="D22" s="42"/>
      <c r="E22" s="43"/>
      <c r="F22" s="35">
        <v>7</v>
      </c>
      <c r="G22" s="36">
        <v>13</v>
      </c>
      <c r="H22" s="44" t="str">
        <f ca="1">IF(ISBLANK(INDIRECT(ADDRESS(K22*2+2,3))),"",INDIRECT(ADDRESS(K22*2+2,3)))</f>
        <v>Папоян</v>
      </c>
      <c r="I22" s="42"/>
      <c r="J22" s="42"/>
      <c r="K22" s="34">
        <v>4</v>
      </c>
      <c r="L22" s="37" t="s">
        <v>197</v>
      </c>
      <c r="M22" s="32"/>
    </row>
    <row r="23" spans="1:13" s="33" customFormat="1" ht="30" customHeight="1" x14ac:dyDescent="0.35">
      <c r="A23" s="31"/>
      <c r="M23" s="38"/>
    </row>
    <row r="24" spans="1:13" s="33" customFormat="1" ht="30" customHeight="1" thickBot="1" x14ac:dyDescent="0.4">
      <c r="A24" s="31"/>
      <c r="B24" s="45" t="s">
        <v>198</v>
      </c>
      <c r="C24" s="45"/>
      <c r="D24" s="45"/>
      <c r="E24" s="45"/>
      <c r="F24" s="45"/>
      <c r="G24" s="45"/>
      <c r="H24" s="45"/>
      <c r="I24" s="45"/>
      <c r="J24" s="45"/>
      <c r="K24" s="45"/>
      <c r="M24" s="38"/>
    </row>
    <row r="25" spans="1:13" s="33" customFormat="1" ht="30" customHeight="1" thickBot="1" x14ac:dyDescent="0.4">
      <c r="A25" s="31"/>
      <c r="B25" s="34">
        <v>6</v>
      </c>
      <c r="C25" s="42" t="str">
        <f ca="1">IF(ISBLANK(INDIRECT(ADDRESS(B25*2+2,3))),"",INDIRECT(ADDRESS(B25*2+2,3)))</f>
        <v>Царегородцев</v>
      </c>
      <c r="D25" s="42"/>
      <c r="E25" s="43"/>
      <c r="F25" s="35">
        <v>13</v>
      </c>
      <c r="G25" s="36">
        <v>6</v>
      </c>
      <c r="H25" s="44" t="str">
        <f ca="1">IF(ISBLANK(INDIRECT(ADDRESS(K25*2+2,3))),"",INDIRECT(ADDRESS(K25*2+2,3)))</f>
        <v>Папоян</v>
      </c>
      <c r="I25" s="42"/>
      <c r="J25" s="42"/>
      <c r="K25" s="34">
        <v>4</v>
      </c>
      <c r="L25" s="37" t="s">
        <v>197</v>
      </c>
      <c r="M25" s="32"/>
    </row>
    <row r="26" spans="1:13" s="33" customFormat="1" ht="30" customHeight="1" thickBot="1" x14ac:dyDescent="0.4">
      <c r="A26" s="31"/>
      <c r="B26" s="34">
        <v>5</v>
      </c>
      <c r="C26" s="42" t="str">
        <f ca="1">IF(ISBLANK(INDIRECT(ADDRESS(B26*2+2,3))),"",INDIRECT(ADDRESS(B26*2+2,3)))</f>
        <v>Волчек</v>
      </c>
      <c r="D26" s="42"/>
      <c r="E26" s="43"/>
      <c r="F26" s="35">
        <v>13</v>
      </c>
      <c r="G26" s="36">
        <v>9</v>
      </c>
      <c r="H26" s="44" t="str">
        <f ca="1">IF(ISBLANK(INDIRECT(ADDRESS(K26*2+2,3))),"",INDIRECT(ADDRESS(K26*2+2,3)))</f>
        <v>Гаджиев</v>
      </c>
      <c r="I26" s="42"/>
      <c r="J26" s="42"/>
      <c r="K26" s="34">
        <v>3</v>
      </c>
      <c r="L26" s="37" t="s">
        <v>197</v>
      </c>
      <c r="M26" s="32"/>
    </row>
    <row r="27" spans="1:13" s="33" customFormat="1" ht="30" customHeight="1" thickBot="1" x14ac:dyDescent="0.4">
      <c r="A27" s="31"/>
      <c r="B27" s="34">
        <v>1</v>
      </c>
      <c r="C27" s="42" t="str">
        <f ca="1">IF(ISBLANK(INDIRECT(ADDRESS(B27*2+2,3))),"",INDIRECT(ADDRESS(B27*2+2,3)))</f>
        <v>Каргашин</v>
      </c>
      <c r="D27" s="42"/>
      <c r="E27" s="43"/>
      <c r="F27" s="35">
        <v>13</v>
      </c>
      <c r="G27" s="36">
        <v>11</v>
      </c>
      <c r="H27" s="44" t="str">
        <f ca="1">IF(ISBLANK(INDIRECT(ADDRESS(K27*2+2,3))),"",INDIRECT(ADDRESS(K27*2+2,3)))</f>
        <v>Зубова</v>
      </c>
      <c r="I27" s="42"/>
      <c r="J27" s="42"/>
      <c r="K27" s="34">
        <v>2</v>
      </c>
      <c r="L27" s="37" t="s">
        <v>197</v>
      </c>
      <c r="M27" s="32"/>
    </row>
    <row r="28" spans="1:13" s="33" customFormat="1" ht="30" customHeight="1" x14ac:dyDescent="0.35">
      <c r="A28" s="31"/>
      <c r="M28" s="38"/>
    </row>
    <row r="29" spans="1:13" s="33" customFormat="1" ht="30" customHeight="1" thickBot="1" x14ac:dyDescent="0.4">
      <c r="A29" s="31"/>
      <c r="B29" s="45" t="s">
        <v>199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30" customHeight="1" thickBot="1" x14ac:dyDescent="0.4">
      <c r="A30" s="31"/>
      <c r="B30" s="34">
        <v>2</v>
      </c>
      <c r="C30" s="42" t="str">
        <f ca="1">IF(ISBLANK(INDIRECT(ADDRESS(B30*2+2,3))),"",INDIRECT(ADDRESS(B30*2+2,3)))</f>
        <v>Зубова</v>
      </c>
      <c r="D30" s="42"/>
      <c r="E30" s="43"/>
      <c r="F30" s="35">
        <v>13</v>
      </c>
      <c r="G30" s="36">
        <v>3</v>
      </c>
      <c r="H30" s="44" t="str">
        <f ca="1">IF(ISBLANK(INDIRECT(ADDRESS(K30*2+2,3))),"",INDIRECT(ADDRESS(K30*2+2,3)))</f>
        <v>Царегородцев</v>
      </c>
      <c r="I30" s="42"/>
      <c r="J30" s="42"/>
      <c r="K30" s="34">
        <v>6</v>
      </c>
      <c r="L30" s="37" t="s">
        <v>197</v>
      </c>
      <c r="M30" s="32"/>
    </row>
    <row r="31" spans="1:13" s="33" customFormat="1" ht="30" customHeight="1" thickBot="1" x14ac:dyDescent="0.4">
      <c r="A31" s="31"/>
      <c r="B31" s="34">
        <v>3</v>
      </c>
      <c r="C31" s="42" t="str">
        <f ca="1">IF(ISBLANK(INDIRECT(ADDRESS(B31*2+2,3))),"",INDIRECT(ADDRESS(B31*2+2,3)))</f>
        <v>Гаджиев</v>
      </c>
      <c r="D31" s="42"/>
      <c r="E31" s="43"/>
      <c r="F31" s="35">
        <v>12</v>
      </c>
      <c r="G31" s="36">
        <v>13</v>
      </c>
      <c r="H31" s="44" t="str">
        <f ca="1">IF(ISBLANK(INDIRECT(ADDRESS(K31*2+2,3))),"",INDIRECT(ADDRESS(K31*2+2,3)))</f>
        <v>Каргашин</v>
      </c>
      <c r="I31" s="42"/>
      <c r="J31" s="42"/>
      <c r="K31" s="34">
        <v>1</v>
      </c>
      <c r="L31" s="37" t="s">
        <v>197</v>
      </c>
      <c r="M31" s="32"/>
    </row>
    <row r="32" spans="1:13" s="33" customFormat="1" ht="30" customHeight="1" thickBot="1" x14ac:dyDescent="0.4">
      <c r="A32" s="31"/>
      <c r="B32" s="34">
        <v>4</v>
      </c>
      <c r="C32" s="42" t="str">
        <f ca="1">IF(ISBLANK(INDIRECT(ADDRESS(B32*2+2,3))),"",INDIRECT(ADDRESS(B32*2+2,3)))</f>
        <v>Папоян</v>
      </c>
      <c r="D32" s="42"/>
      <c r="E32" s="43"/>
      <c r="F32" s="35">
        <v>13</v>
      </c>
      <c r="G32" s="36">
        <v>1</v>
      </c>
      <c r="H32" s="44" t="str">
        <f ca="1">IF(ISBLANK(INDIRECT(ADDRESS(K32*2+2,3))),"",INDIRECT(ADDRESS(K32*2+2,3)))</f>
        <v>Волчек</v>
      </c>
      <c r="I32" s="42"/>
      <c r="J32" s="42"/>
      <c r="K32" s="34">
        <v>5</v>
      </c>
      <c r="L32" s="37" t="s">
        <v>197</v>
      </c>
      <c r="M32" s="32"/>
    </row>
    <row r="33" spans="1:13" s="33" customFormat="1" ht="30" customHeight="1" x14ac:dyDescent="0.35">
      <c r="A33" s="31"/>
      <c r="M33" s="38"/>
    </row>
    <row r="34" spans="1:13" s="33" customFormat="1" ht="30" customHeight="1" thickBot="1" x14ac:dyDescent="0.4">
      <c r="A34" s="31"/>
      <c r="B34" s="45" t="s">
        <v>200</v>
      </c>
      <c r="C34" s="45"/>
      <c r="D34" s="45"/>
      <c r="E34" s="45"/>
      <c r="F34" s="45"/>
      <c r="G34" s="45"/>
      <c r="H34" s="45"/>
      <c r="I34" s="45"/>
      <c r="J34" s="45"/>
      <c r="K34" s="45"/>
      <c r="M34" s="38"/>
    </row>
    <row r="35" spans="1:13" s="33" customFormat="1" ht="30" customHeight="1" thickBot="1" x14ac:dyDescent="0.4">
      <c r="A35" s="31"/>
      <c r="B35" s="34">
        <v>6</v>
      </c>
      <c r="C35" s="42" t="str">
        <f ca="1">IF(ISBLANK(INDIRECT(ADDRESS(B35*2+2,3))),"",INDIRECT(ADDRESS(B35*2+2,3)))</f>
        <v>Царегородцев</v>
      </c>
      <c r="D35" s="42"/>
      <c r="E35" s="43"/>
      <c r="F35" s="35">
        <v>13</v>
      </c>
      <c r="G35" s="36">
        <v>2</v>
      </c>
      <c r="H35" s="44" t="str">
        <f ca="1">IF(ISBLANK(INDIRECT(ADDRESS(K35*2+2,3))),"",INDIRECT(ADDRESS(K35*2+2,3)))</f>
        <v>Волчек</v>
      </c>
      <c r="I35" s="42"/>
      <c r="J35" s="42"/>
      <c r="K35" s="34">
        <v>5</v>
      </c>
      <c r="L35" s="37" t="s">
        <v>197</v>
      </c>
      <c r="M35" s="32"/>
    </row>
    <row r="36" spans="1:13" s="33" customFormat="1" ht="30" customHeight="1" thickBot="1" x14ac:dyDescent="0.4">
      <c r="A36" s="31"/>
      <c r="B36" s="34">
        <v>1</v>
      </c>
      <c r="C36" s="42" t="str">
        <f ca="1">IF(ISBLANK(INDIRECT(ADDRESS(B36*2+2,3))),"",INDIRECT(ADDRESS(B36*2+2,3)))</f>
        <v>Каргашин</v>
      </c>
      <c r="D36" s="42"/>
      <c r="E36" s="43"/>
      <c r="F36" s="35">
        <v>13</v>
      </c>
      <c r="G36" s="36">
        <v>8</v>
      </c>
      <c r="H36" s="44" t="str">
        <f ca="1">IF(ISBLANK(INDIRECT(ADDRESS(K36*2+2,3))),"",INDIRECT(ADDRESS(K36*2+2,3)))</f>
        <v>Папоян</v>
      </c>
      <c r="I36" s="42"/>
      <c r="J36" s="42"/>
      <c r="K36" s="34">
        <v>4</v>
      </c>
      <c r="L36" s="37" t="s">
        <v>197</v>
      </c>
      <c r="M36" s="32"/>
    </row>
    <row r="37" spans="1:13" s="33" customFormat="1" ht="30" customHeight="1" thickBot="1" x14ac:dyDescent="0.4">
      <c r="A37" s="31"/>
      <c r="B37" s="34">
        <v>2</v>
      </c>
      <c r="C37" s="42" t="str">
        <f ca="1">IF(ISBLANK(INDIRECT(ADDRESS(B37*2+2,3))),"",INDIRECT(ADDRESS(B37*2+2,3)))</f>
        <v>Зубова</v>
      </c>
      <c r="D37" s="42"/>
      <c r="E37" s="43"/>
      <c r="F37" s="35">
        <v>8</v>
      </c>
      <c r="G37" s="36">
        <v>10</v>
      </c>
      <c r="H37" s="44" t="str">
        <f ca="1">IF(ISBLANK(INDIRECT(ADDRESS(K37*2+2,3))),"",INDIRECT(ADDRESS(K37*2+2,3)))</f>
        <v>Гаджиев</v>
      </c>
      <c r="I37" s="42"/>
      <c r="J37" s="42"/>
      <c r="K37" s="34">
        <v>3</v>
      </c>
      <c r="L37" s="37" t="s">
        <v>197</v>
      </c>
      <c r="M37" s="32"/>
    </row>
    <row r="38" spans="1:13" s="33" customFormat="1" ht="30" customHeight="1" x14ac:dyDescent="0.35">
      <c r="A38" s="31"/>
      <c r="M38" s="38"/>
    </row>
    <row r="39" spans="1:13" s="33" customFormat="1" ht="30" customHeight="1" thickBot="1" x14ac:dyDescent="0.4">
      <c r="A39" s="31"/>
      <c r="B39" s="45" t="s">
        <v>201</v>
      </c>
      <c r="C39" s="45"/>
      <c r="D39" s="45"/>
      <c r="E39" s="45"/>
      <c r="F39" s="45"/>
      <c r="G39" s="45"/>
      <c r="H39" s="45"/>
      <c r="I39" s="45"/>
      <c r="J39" s="45"/>
      <c r="K39" s="45"/>
      <c r="M39" s="38"/>
    </row>
    <row r="40" spans="1:13" s="33" customFormat="1" ht="30" customHeight="1" thickBot="1" x14ac:dyDescent="0.4">
      <c r="A40" s="31"/>
      <c r="B40" s="34">
        <v>3</v>
      </c>
      <c r="C40" s="42" t="str">
        <f ca="1">IF(ISBLANK(INDIRECT(ADDRESS(B40*2+2,3))),"",INDIRECT(ADDRESS(B40*2+2,3)))</f>
        <v>Гаджиев</v>
      </c>
      <c r="D40" s="42"/>
      <c r="E40" s="43"/>
      <c r="F40" s="35">
        <v>2</v>
      </c>
      <c r="G40" s="36">
        <v>13</v>
      </c>
      <c r="H40" s="44" t="str">
        <f ca="1">IF(ISBLANK(INDIRECT(ADDRESS(K40*2+2,3))),"",INDIRECT(ADDRESS(K40*2+2,3)))</f>
        <v>Царегородцев</v>
      </c>
      <c r="I40" s="42"/>
      <c r="J40" s="42"/>
      <c r="K40" s="34">
        <v>6</v>
      </c>
      <c r="L40" s="37" t="s">
        <v>197</v>
      </c>
      <c r="M40" s="32"/>
    </row>
    <row r="41" spans="1:13" s="33" customFormat="1" ht="30" customHeight="1" thickBot="1" x14ac:dyDescent="0.4">
      <c r="A41" s="31"/>
      <c r="B41" s="34">
        <v>4</v>
      </c>
      <c r="C41" s="42" t="str">
        <f ca="1">IF(ISBLANK(INDIRECT(ADDRESS(B41*2+2,3))),"",INDIRECT(ADDRESS(B41*2+2,3)))</f>
        <v>Папоян</v>
      </c>
      <c r="D41" s="42"/>
      <c r="E41" s="43"/>
      <c r="F41" s="35">
        <v>1</v>
      </c>
      <c r="G41" s="36">
        <v>13</v>
      </c>
      <c r="H41" s="44" t="str">
        <f ca="1">IF(ISBLANK(INDIRECT(ADDRESS(K41*2+2,3))),"",INDIRECT(ADDRESS(K41*2+2,3)))</f>
        <v>Зубова</v>
      </c>
      <c r="I41" s="42"/>
      <c r="J41" s="42"/>
      <c r="K41" s="34">
        <v>2</v>
      </c>
      <c r="L41" s="37" t="s">
        <v>197</v>
      </c>
      <c r="M41" s="32"/>
    </row>
    <row r="42" spans="1:13" s="33" customFormat="1" ht="30" customHeight="1" thickBot="1" x14ac:dyDescent="0.4">
      <c r="A42" s="31"/>
      <c r="B42" s="34">
        <v>5</v>
      </c>
      <c r="C42" s="42" t="str">
        <f ca="1">IF(ISBLANK(INDIRECT(ADDRESS(B42*2+2,3))),"",INDIRECT(ADDRESS(B42*2+2,3)))</f>
        <v>Волчек</v>
      </c>
      <c r="D42" s="42"/>
      <c r="E42" s="43"/>
      <c r="F42" s="35">
        <v>9</v>
      </c>
      <c r="G42" s="36">
        <v>7</v>
      </c>
      <c r="H42" s="44" t="str">
        <f ca="1">IF(ISBLANK(INDIRECT(ADDRESS(K42*2+2,3))),"",INDIRECT(ADDRESS(K42*2+2,3)))</f>
        <v>Каргашин</v>
      </c>
      <c r="I42" s="42"/>
      <c r="J42" s="42"/>
      <c r="K42" s="34">
        <v>1</v>
      </c>
      <c r="L42" s="37" t="s">
        <v>197</v>
      </c>
      <c r="M42" s="32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C10" sqref="C10:E11"/>
    </sheetView>
  </sheetViews>
  <sheetFormatPr defaultRowHeight="15" x14ac:dyDescent="0.25"/>
  <cols>
    <col min="1" max="1" width="4" style="8" customWidth="1"/>
    <col min="2" max="15" width="10.28515625" customWidth="1"/>
  </cols>
  <sheetData>
    <row r="1" spans="2:14" ht="38.25" customHeight="1" x14ac:dyDescent="0.25">
      <c r="B1" s="64" t="s">
        <v>209</v>
      </c>
      <c r="C1" s="64"/>
      <c r="D1" s="64"/>
      <c r="E1" s="64"/>
      <c r="F1" s="64"/>
      <c r="G1" s="64"/>
      <c r="H1" s="64"/>
      <c r="I1" s="64"/>
      <c r="J1" s="64"/>
      <c r="K1" s="64"/>
    </row>
    <row r="2" spans="2:14" ht="15.75" thickBot="1" x14ac:dyDescent="0.3"/>
    <row r="3" spans="2:14" ht="30" customHeight="1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11">
        <v>6</v>
      </c>
      <c r="L3" s="12" t="s">
        <v>192</v>
      </c>
      <c r="M3" s="10" t="s">
        <v>193</v>
      </c>
      <c r="N3" s="13" t="s">
        <v>194</v>
      </c>
    </row>
    <row r="4" spans="2:14" ht="24" customHeight="1" x14ac:dyDescent="0.25">
      <c r="B4" s="68">
        <v>1</v>
      </c>
      <c r="C4" s="73" t="s">
        <v>181</v>
      </c>
      <c r="D4" s="74"/>
      <c r="E4" s="75"/>
      <c r="F4" s="14" t="s">
        <v>195</v>
      </c>
      <c r="G4" s="15" t="str">
        <f ca="1">INDIRECT(ADDRESS(27,6))&amp;":"&amp;INDIRECT(ADDRESS(27,7))</f>
        <v>13:11</v>
      </c>
      <c r="H4" s="15" t="str">
        <f ca="1">INDIRECT(ADDRESS(31,7))&amp;":"&amp;INDIRECT(ADDRESS(31,6))</f>
        <v>0:13</v>
      </c>
      <c r="I4" s="15" t="str">
        <f ca="1">INDIRECT(ADDRESS(36,6))&amp;":"&amp;INDIRECT(ADDRESS(36,7))</f>
        <v>13:5</v>
      </c>
      <c r="J4" s="15" t="str">
        <f ca="1">INDIRECT(ADDRESS(42,7))&amp;":"&amp;INDIRECT(ADDRESS(42,6))</f>
        <v>5:13</v>
      </c>
      <c r="K4" s="16" t="str">
        <f ca="1">INDIRECT(ADDRESS(20,6))&amp;":"&amp;INDIRECT(ADDRESS(20,7))</f>
        <v>13:6</v>
      </c>
      <c r="L4" s="72">
        <f ca="1">IF(COUNT(F5:K5)=0,"",COUNTIF(F5:K5,"&gt;0")+0.5*COUNTIF(F5:K5,0))</f>
        <v>3</v>
      </c>
      <c r="M4" s="17"/>
      <c r="N4" s="63">
        <v>2</v>
      </c>
    </row>
    <row r="5" spans="2:14" ht="24" customHeight="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COLUMN())))=1,"",INDIRECT(ADDRESS(27,6))-INDIRECT(ADDRESS(27,7)))</f>
        <v>2</v>
      </c>
      <c r="H5" s="19">
        <f ca="1">IF(LEN(INDIRECT(ADDRESS(ROW()-1, COLUMN())))=1,"",INDIRECT(ADDRESS(31,7))-INDIRECT(ADDRESS(31,6)))</f>
        <v>-13</v>
      </c>
      <c r="I5" s="19">
        <f ca="1">IF(LEN(INDIRECT(ADDRESS(ROW()-1, COLUMN())))=1,"",INDIRECT(ADDRESS(36,6))-INDIRECT(ADDRESS(36,7)))</f>
        <v>8</v>
      </c>
      <c r="J5" s="19">
        <f ca="1">IF(LEN(INDIRECT(ADDRESS(ROW()-1, COLUMN())))=1,"",INDIRECT(ADDRESS(42,7))-INDIRECT(ADDRESS(42,6)))</f>
        <v>-8</v>
      </c>
      <c r="K5" s="20">
        <f ca="1">IF(LEN(INDIRECT(ADDRESS(ROW()-1, COLUMN())))=1,"",INDIRECT(ADDRESS(20,6))-INDIRECT(ADDRESS(20,7)))</f>
        <v>7</v>
      </c>
      <c r="L5" s="54"/>
      <c r="M5" s="19">
        <f ca="1">IF(COUNT(F5:K5)=0,"",SUM(F5:K5))</f>
        <v>-4</v>
      </c>
      <c r="N5" s="59"/>
    </row>
    <row r="6" spans="2:14" ht="24" customHeight="1" x14ac:dyDescent="0.25">
      <c r="B6" s="46">
        <v>2</v>
      </c>
      <c r="C6" s="48" t="s">
        <v>56</v>
      </c>
      <c r="D6" s="49"/>
      <c r="E6" s="50"/>
      <c r="F6" s="21" t="str">
        <f ca="1">INDIRECT(ADDRESS(27,7))&amp;":"&amp;INDIRECT(ADDRESS(27,6))</f>
        <v>11:13</v>
      </c>
      <c r="G6" s="22" t="s">
        <v>195</v>
      </c>
      <c r="H6" s="23" t="str">
        <f ca="1">INDIRECT(ADDRESS(37,6))&amp;":"&amp;INDIRECT(ADDRESS(37,7))</f>
        <v>7:11</v>
      </c>
      <c r="I6" s="23" t="str">
        <f ca="1">INDIRECT(ADDRESS(41,7))&amp;":"&amp;INDIRECT(ADDRESS(41,6))</f>
        <v>8:12</v>
      </c>
      <c r="J6" s="23" t="str">
        <f ca="1">INDIRECT(ADDRESS(21,6))&amp;":"&amp;INDIRECT(ADDRESS(21,7))</f>
        <v>10:7</v>
      </c>
      <c r="K6" s="24" t="str">
        <f ca="1">INDIRECT(ADDRESS(30,6))&amp;":"&amp;INDIRECT(ADDRESS(30,7))</f>
        <v>12:6</v>
      </c>
      <c r="L6" s="54">
        <f ca="1">IF(COUNT(F7:K7)=0,"",COUNTIF(F7:K7,"&gt;0")+0.5*COUNTIF(F7:K7,0))</f>
        <v>2</v>
      </c>
      <c r="M6" s="19"/>
      <c r="N6" s="56">
        <v>4</v>
      </c>
    </row>
    <row r="7" spans="2:14" ht="24" customHeight="1" x14ac:dyDescent="0.25">
      <c r="B7" s="58"/>
      <c r="C7" s="48"/>
      <c r="D7" s="49"/>
      <c r="E7" s="50"/>
      <c r="F7" s="25">
        <f ca="1">IF(LEN(INDIRECT(ADDRESS(ROW()-1, COLUMN())))=1,"",INDIRECT(ADDRESS(27,7))-INDIRECT(ADDRESS(27,6)))</f>
        <v>-2</v>
      </c>
      <c r="G7" s="26" t="s">
        <v>195</v>
      </c>
      <c r="H7" s="19">
        <f ca="1">IF(LEN(INDIRECT(ADDRESS(ROW()-1, COLUMN())))=1,"",INDIRECT(ADDRESS(37,6))-INDIRECT(ADDRESS(37,7)))</f>
        <v>-4</v>
      </c>
      <c r="I7" s="19">
        <f ca="1">IF(LEN(INDIRECT(ADDRESS(ROW()-1, COLUMN())))=1,"",INDIRECT(ADDRESS(41,7))-INDIRECT(ADDRESS(41,6)))</f>
        <v>-4</v>
      </c>
      <c r="J7" s="19">
        <f ca="1">IF(LEN(INDIRECT(ADDRESS(ROW()-1, COLUMN())))=1,"",INDIRECT(ADDRESS(21,6))-INDIRECT(ADDRESS(21,7)))</f>
        <v>3</v>
      </c>
      <c r="K7" s="20">
        <f ca="1">IF(LEN(INDIRECT(ADDRESS(ROW()-1, COLUMN())))=1,"",INDIRECT(ADDRESS(30,6))-INDIRECT(ADDRESS(30,7)))</f>
        <v>6</v>
      </c>
      <c r="L7" s="54"/>
      <c r="M7" s="19">
        <f ca="1">IF(COUNT(F7:K7)=0,"",SUM(F7:K7))</f>
        <v>-1</v>
      </c>
      <c r="N7" s="59"/>
    </row>
    <row r="8" spans="2:14" ht="24" customHeight="1" x14ac:dyDescent="0.25">
      <c r="B8" s="46">
        <v>3</v>
      </c>
      <c r="C8" s="60" t="s">
        <v>46</v>
      </c>
      <c r="D8" s="61"/>
      <c r="E8" s="62"/>
      <c r="F8" s="21" t="str">
        <f ca="1">INDIRECT(ADDRESS(31,6))&amp;":"&amp;INDIRECT(ADDRESS(31,7))</f>
        <v>13:0</v>
      </c>
      <c r="G8" s="23" t="str">
        <f ca="1">INDIRECT(ADDRESS(37,7))&amp;":"&amp;INDIRECT(ADDRESS(37,6))</f>
        <v>11:7</v>
      </c>
      <c r="H8" s="22" t="s">
        <v>195</v>
      </c>
      <c r="I8" s="23" t="str">
        <f ca="1">INDIRECT(ADDRESS(22,6))&amp;":"&amp;INDIRECT(ADDRESS(22,7))</f>
        <v>12:9</v>
      </c>
      <c r="J8" s="23" t="str">
        <f ca="1">INDIRECT(ADDRESS(26,7))&amp;":"&amp;INDIRECT(ADDRESS(26,6))</f>
        <v>13:5</v>
      </c>
      <c r="K8" s="24" t="str">
        <f ca="1">INDIRECT(ADDRESS(40,6))&amp;":"&amp;INDIRECT(ADDRESS(40,7))</f>
        <v>13:5</v>
      </c>
      <c r="L8" s="54">
        <f ca="1">IF(COUNT(F9:K9)=0,"",COUNTIF(F9:K9,"&gt;0")+0.5*COUNTIF(F9:K9,0))</f>
        <v>5</v>
      </c>
      <c r="M8" s="19"/>
      <c r="N8" s="56">
        <v>1</v>
      </c>
    </row>
    <row r="9" spans="2:14" ht="24" customHeight="1" x14ac:dyDescent="0.25">
      <c r="B9" s="58"/>
      <c r="C9" s="60"/>
      <c r="D9" s="61"/>
      <c r="E9" s="62"/>
      <c r="F9" s="25">
        <f ca="1">IF(LEN(INDIRECT(ADDRESS(ROW()-1, COLUMN())))=1,"",INDIRECT(ADDRESS(31,6))-INDIRECT(ADDRESS(31,7)))</f>
        <v>13</v>
      </c>
      <c r="G9" s="19">
        <f ca="1">IF(LEN(INDIRECT(ADDRESS(ROW()-1, COLUMN())))=1,"",INDIRECT(ADDRESS(37,7))-INDIRECT(ADDRESS(37,6)))</f>
        <v>4</v>
      </c>
      <c r="H9" s="26" t="s">
        <v>195</v>
      </c>
      <c r="I9" s="19">
        <f ca="1">IF(LEN(INDIRECT(ADDRESS(ROW()-1, COLUMN())))=1,"",INDIRECT(ADDRESS(22,6))-INDIRECT(ADDRESS(22,7)))</f>
        <v>3</v>
      </c>
      <c r="J9" s="19">
        <f ca="1">IF(LEN(INDIRECT(ADDRESS(ROW()-1, COLUMN())))=1,"",INDIRECT(ADDRESS(26,7))-INDIRECT(ADDRESS(26,6)))</f>
        <v>8</v>
      </c>
      <c r="K9" s="20">
        <f ca="1">IF(LEN(INDIRECT(ADDRESS(ROW()-1, COLUMN())))=1,"",INDIRECT(ADDRESS(40,6))-INDIRECT(ADDRESS(40,7)))</f>
        <v>8</v>
      </c>
      <c r="L9" s="54"/>
      <c r="M9" s="19">
        <f ca="1">IF(COUNT(F9:K9)=0,"",SUM(F9:K9))</f>
        <v>36</v>
      </c>
      <c r="N9" s="59"/>
    </row>
    <row r="10" spans="2:14" ht="24" customHeight="1" x14ac:dyDescent="0.25">
      <c r="B10" s="46">
        <v>4</v>
      </c>
      <c r="C10" s="60" t="s">
        <v>190</v>
      </c>
      <c r="D10" s="61"/>
      <c r="E10" s="62"/>
      <c r="F10" s="21" t="str">
        <f ca="1">INDIRECT(ADDRESS(36,7))&amp;":"&amp;INDIRECT(ADDRESS(36,6))</f>
        <v>5:13</v>
      </c>
      <c r="G10" s="23" t="str">
        <f ca="1">INDIRECT(ADDRESS(41,6))&amp;":"&amp;INDIRECT(ADDRESS(41,7))</f>
        <v>12:8</v>
      </c>
      <c r="H10" s="23" t="str">
        <f ca="1">INDIRECT(ADDRESS(22,7))&amp;":"&amp;INDIRECT(ADDRESS(22,6))</f>
        <v>9:12</v>
      </c>
      <c r="I10" s="22" t="s">
        <v>195</v>
      </c>
      <c r="J10" s="23" t="str">
        <f ca="1">INDIRECT(ADDRESS(32,6))&amp;":"&amp;INDIRECT(ADDRESS(32,7))</f>
        <v>13:6</v>
      </c>
      <c r="K10" s="24" t="str">
        <f ca="1">INDIRECT(ADDRESS(25,7))&amp;":"&amp;INDIRECT(ADDRESS(25,6))</f>
        <v>13:3</v>
      </c>
      <c r="L10" s="54">
        <f ca="1">IF(COUNT(F11:K11)=0,"",COUNTIF(F11:K11,"&gt;0")+0.5*COUNTIF(F11:K11,0))</f>
        <v>3</v>
      </c>
      <c r="M10" s="19"/>
      <c r="N10" s="56">
        <v>3</v>
      </c>
    </row>
    <row r="11" spans="2:14" ht="24" customHeight="1" x14ac:dyDescent="0.25">
      <c r="B11" s="58"/>
      <c r="C11" s="60"/>
      <c r="D11" s="61"/>
      <c r="E11" s="62"/>
      <c r="F11" s="25">
        <f ca="1">IF(LEN(INDIRECT(ADDRESS(ROW()-1, COLUMN())))=1,"",INDIRECT(ADDRESS(36,7))-INDIRECT(ADDRESS(36,6)))</f>
        <v>-8</v>
      </c>
      <c r="G11" s="19">
        <f ca="1">IF(LEN(INDIRECT(ADDRESS(ROW()-1, COLUMN())))=1,"",INDIRECT(ADDRESS(41,6))-INDIRECT(ADDRESS(41,7)))</f>
        <v>4</v>
      </c>
      <c r="H11" s="19">
        <f ca="1">IF(LEN(INDIRECT(ADDRESS(ROW()-1, COLUMN())))=1,"",INDIRECT(ADDRESS(22,7))-INDIRECT(ADDRESS(22,6)))</f>
        <v>-3</v>
      </c>
      <c r="I11" s="26" t="s">
        <v>195</v>
      </c>
      <c r="J11" s="19">
        <f ca="1">IF(LEN(INDIRECT(ADDRESS(ROW()-1, COLUMN())))=1,"",INDIRECT(ADDRESS(32,6))-INDIRECT(ADDRESS(32,7)))</f>
        <v>7</v>
      </c>
      <c r="K11" s="20">
        <f ca="1">IF(LEN(INDIRECT(ADDRESS(ROW()-1, COLUMN())))=1,"",INDIRECT(ADDRESS(25,7))-INDIRECT(ADDRESS(25,6)))</f>
        <v>10</v>
      </c>
      <c r="L11" s="54"/>
      <c r="M11" s="19">
        <f ca="1">IF(COUNT(F11:K11)=0,"",SUM(F11:K11))</f>
        <v>10</v>
      </c>
      <c r="N11" s="59"/>
    </row>
    <row r="12" spans="2:14" ht="24" customHeight="1" x14ac:dyDescent="0.25">
      <c r="B12" s="46">
        <v>5</v>
      </c>
      <c r="C12" s="48" t="s">
        <v>55</v>
      </c>
      <c r="D12" s="49"/>
      <c r="E12" s="50"/>
      <c r="F12" s="21" t="str">
        <f ca="1">INDIRECT(ADDRESS(42,6))&amp;":"&amp;INDIRECT(ADDRESS(42,7))</f>
        <v>13:5</v>
      </c>
      <c r="G12" s="23" t="str">
        <f ca="1">INDIRECT(ADDRESS(21,7))&amp;":"&amp;INDIRECT(ADDRESS(21,6))</f>
        <v>7:10</v>
      </c>
      <c r="H12" s="23" t="str">
        <f ca="1">INDIRECT(ADDRESS(26,6))&amp;":"&amp;INDIRECT(ADDRESS(26,7))</f>
        <v>5:13</v>
      </c>
      <c r="I12" s="23" t="str">
        <f ca="1">INDIRECT(ADDRESS(32,7))&amp;":"&amp;INDIRECT(ADDRESS(32,6))</f>
        <v>6:13</v>
      </c>
      <c r="J12" s="22" t="s">
        <v>195</v>
      </c>
      <c r="K12" s="24" t="str">
        <f ca="1">INDIRECT(ADDRESS(35,7))&amp;":"&amp;INDIRECT(ADDRESS(35,6))</f>
        <v>13:3</v>
      </c>
      <c r="L12" s="54">
        <f ca="1">IF(COUNT(F13:K13)=0,"",COUNTIF(F13:K13,"&gt;0")+0.5*COUNTIF(F13:K13,0))</f>
        <v>2</v>
      </c>
      <c r="M12" s="19"/>
      <c r="N12" s="56">
        <v>5</v>
      </c>
    </row>
    <row r="13" spans="2:14" ht="24" customHeight="1" x14ac:dyDescent="0.25">
      <c r="B13" s="58"/>
      <c r="C13" s="48"/>
      <c r="D13" s="49"/>
      <c r="E13" s="50"/>
      <c r="F13" s="25">
        <f ca="1">IF(LEN(INDIRECT(ADDRESS(ROW()-1, COLUMN())))=1,"",INDIRECT(ADDRESS(42,6))-INDIRECT(ADDRESS(42,7)))</f>
        <v>8</v>
      </c>
      <c r="G13" s="19">
        <f ca="1">IF(LEN(INDIRECT(ADDRESS(ROW()-1, COLUMN())))=1,"",INDIRECT(ADDRESS(21,7))-INDIRECT(ADDRESS(21,6)))</f>
        <v>-3</v>
      </c>
      <c r="H13" s="19">
        <f ca="1">IF(LEN(INDIRECT(ADDRESS(ROW()-1, COLUMN())))=1,"",INDIRECT(ADDRESS(26,6))-INDIRECT(ADDRESS(26,7)))</f>
        <v>-8</v>
      </c>
      <c r="I13" s="19">
        <f ca="1">IF(LEN(INDIRECT(ADDRESS(ROW()-1, COLUMN())))=1,"",INDIRECT(ADDRESS(32,7))-INDIRECT(ADDRESS(32,6)))</f>
        <v>-7</v>
      </c>
      <c r="J13" s="26" t="s">
        <v>195</v>
      </c>
      <c r="K13" s="20">
        <f ca="1">IF(LEN(INDIRECT(ADDRESS(ROW()-1, COLUMN())))=1,"",INDIRECT(ADDRESS(35,7))-INDIRECT(ADDRESS(35,6)))</f>
        <v>10</v>
      </c>
      <c r="L13" s="54"/>
      <c r="M13" s="19">
        <f ca="1">IF(COUNT(F13:K13)=0,"",SUM(F13:K13))</f>
        <v>0</v>
      </c>
      <c r="N13" s="59"/>
    </row>
    <row r="14" spans="2:14" ht="24" customHeight="1" x14ac:dyDescent="0.25">
      <c r="B14" s="46">
        <v>6</v>
      </c>
      <c r="C14" s="48" t="s">
        <v>49</v>
      </c>
      <c r="D14" s="49"/>
      <c r="E14" s="50"/>
      <c r="F14" s="21" t="str">
        <f ca="1">INDIRECT(ADDRESS(20,7))&amp;":"&amp;INDIRECT(ADDRESS(20,6))</f>
        <v>6:13</v>
      </c>
      <c r="G14" s="23" t="str">
        <f ca="1">INDIRECT(ADDRESS(30,7))&amp;":"&amp;INDIRECT(ADDRESS(30,6))</f>
        <v>6:12</v>
      </c>
      <c r="H14" s="23" t="str">
        <f ca="1">INDIRECT(ADDRESS(40,7))&amp;":"&amp;INDIRECT(ADDRESS(40,6))</f>
        <v>5:13</v>
      </c>
      <c r="I14" s="23" t="str">
        <f ca="1">INDIRECT(ADDRESS(25,6))&amp;":"&amp;INDIRECT(ADDRESS(25,7))</f>
        <v>3:13</v>
      </c>
      <c r="J14" s="23" t="str">
        <f ca="1">INDIRECT(ADDRESS(35,6))&amp;":"&amp;INDIRECT(ADDRESS(35,7))</f>
        <v>3:13</v>
      </c>
      <c r="K14" s="27" t="s">
        <v>195</v>
      </c>
      <c r="L14" s="54">
        <f ca="1">IF(COUNT(F15:K15)=0,"",COUNTIF(F15:K15,"&gt;0")+0.5*COUNTIF(F15:K15,0))</f>
        <v>0</v>
      </c>
      <c r="M14" s="19"/>
      <c r="N14" s="56">
        <v>6</v>
      </c>
    </row>
    <row r="15" spans="2:14" ht="24" customHeight="1" thickBot="1" x14ac:dyDescent="0.3">
      <c r="B15" s="47"/>
      <c r="C15" s="51"/>
      <c r="D15" s="52"/>
      <c r="E15" s="53"/>
      <c r="F15" s="28">
        <f ca="1">IF(LEN(INDIRECT(ADDRESS(ROW()-1, COLUMN())))=1,"",INDIRECT(ADDRESS(20,7))-INDIRECT(ADDRESS(20,6)))</f>
        <v>-7</v>
      </c>
      <c r="G15" s="29">
        <f ca="1">IF(LEN(INDIRECT(ADDRESS(ROW()-1, COLUMN())))=1,"",INDIRECT(ADDRESS(30,7))-INDIRECT(ADDRESS(30,6)))</f>
        <v>-6</v>
      </c>
      <c r="H15" s="29">
        <f ca="1">IF(LEN(INDIRECT(ADDRESS(ROW()-1, COLUMN())))=1,"",INDIRECT(ADDRESS(40,7))-INDIRECT(ADDRESS(40,6)))</f>
        <v>-8</v>
      </c>
      <c r="I15" s="29">
        <f ca="1">IF(LEN(INDIRECT(ADDRESS(ROW()-1, COLUMN())))=1,"",INDIRECT(ADDRESS(25,6))-INDIRECT(ADDRESS(25,7)))</f>
        <v>-10</v>
      </c>
      <c r="J15" s="29">
        <f ca="1">IF(LEN(INDIRECT(ADDRESS(ROW()-1, COLUMN())))=1,"",INDIRECT(ADDRESS(35,6))-INDIRECT(ADDRESS(35,7)))</f>
        <v>-10</v>
      </c>
      <c r="K15" s="30" t="s">
        <v>195</v>
      </c>
      <c r="L15" s="55"/>
      <c r="M15" s="29">
        <f ca="1">IF(COUNT(F15:K15)=0,"",SUM(F15:K15))</f>
        <v>-41</v>
      </c>
      <c r="N15" s="57"/>
    </row>
    <row r="19" spans="1:13" s="33" customFormat="1" ht="30" customHeight="1" thickBot="1" x14ac:dyDescent="0.4">
      <c r="A19" s="31"/>
      <c r="B19" s="45" t="s">
        <v>196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3" s="33" customFormat="1" ht="30" customHeight="1" thickBot="1" x14ac:dyDescent="0.4">
      <c r="A20" s="31"/>
      <c r="B20" s="34">
        <v>1</v>
      </c>
      <c r="C20" s="42" t="str">
        <f ca="1">IF(ISBLANK(INDIRECT(ADDRESS(B20*2+2,3))),"",INDIRECT(ADDRESS(B20*2+2,3)))</f>
        <v>Хафидо</v>
      </c>
      <c r="D20" s="42"/>
      <c r="E20" s="43"/>
      <c r="F20" s="35">
        <v>13</v>
      </c>
      <c r="G20" s="36">
        <v>6</v>
      </c>
      <c r="H20" s="44" t="str">
        <f ca="1">IF(ISBLANK(INDIRECT(ADDRESS(K20*2+2,3))),"",INDIRECT(ADDRESS(K20*2+2,3)))</f>
        <v>Буштрук</v>
      </c>
      <c r="I20" s="42"/>
      <c r="J20" s="42"/>
      <c r="K20" s="34">
        <v>6</v>
      </c>
      <c r="L20" s="37" t="s">
        <v>197</v>
      </c>
      <c r="M20" s="32"/>
    </row>
    <row r="21" spans="1:13" s="33" customFormat="1" ht="30" customHeight="1" thickBot="1" x14ac:dyDescent="0.4">
      <c r="A21" s="31"/>
      <c r="B21" s="34">
        <v>2</v>
      </c>
      <c r="C21" s="42" t="str">
        <f ca="1">IF(ISBLANK(INDIRECT(ADDRESS(B21*2+2,3))),"",INDIRECT(ADDRESS(B21*2+2,3)))</f>
        <v>Бирюкова</v>
      </c>
      <c r="D21" s="42"/>
      <c r="E21" s="43"/>
      <c r="F21" s="35">
        <v>10</v>
      </c>
      <c r="G21" s="36">
        <v>7</v>
      </c>
      <c r="H21" s="44" t="str">
        <f ca="1">IF(ISBLANK(INDIRECT(ADDRESS(K21*2+2,3))),"",INDIRECT(ADDRESS(K21*2+2,3)))</f>
        <v>Трушина</v>
      </c>
      <c r="I21" s="42"/>
      <c r="J21" s="42"/>
      <c r="K21" s="34">
        <v>5</v>
      </c>
      <c r="L21" s="37" t="s">
        <v>197</v>
      </c>
      <c r="M21" s="32"/>
    </row>
    <row r="22" spans="1:13" s="33" customFormat="1" ht="30" customHeight="1" thickBot="1" x14ac:dyDescent="0.4">
      <c r="A22" s="31"/>
      <c r="B22" s="34">
        <v>3</v>
      </c>
      <c r="C22" s="42" t="str">
        <f ca="1">IF(ISBLANK(INDIRECT(ADDRESS(B22*2+2,3))),"",INDIRECT(ADDRESS(B22*2+2,3)))</f>
        <v>Денисов</v>
      </c>
      <c r="D22" s="42"/>
      <c r="E22" s="43"/>
      <c r="F22" s="35">
        <v>12</v>
      </c>
      <c r="G22" s="36">
        <v>9</v>
      </c>
      <c r="H22" s="44" t="str">
        <f ca="1">IF(ISBLANK(INDIRECT(ADDRESS(K22*2+2,3))),"",INDIRECT(ADDRESS(K22*2+2,3)))</f>
        <v>Базарев</v>
      </c>
      <c r="I22" s="42"/>
      <c r="J22" s="42"/>
      <c r="K22" s="34">
        <v>4</v>
      </c>
      <c r="L22" s="37" t="s">
        <v>197</v>
      </c>
      <c r="M22" s="32"/>
    </row>
    <row r="23" spans="1:13" s="33" customFormat="1" ht="30" customHeight="1" x14ac:dyDescent="0.35">
      <c r="A23" s="31"/>
      <c r="M23" s="38"/>
    </row>
    <row r="24" spans="1:13" s="33" customFormat="1" ht="30" customHeight="1" thickBot="1" x14ac:dyDescent="0.4">
      <c r="A24" s="31"/>
      <c r="B24" s="45" t="s">
        <v>198</v>
      </c>
      <c r="C24" s="45"/>
      <c r="D24" s="45"/>
      <c r="E24" s="45"/>
      <c r="F24" s="45"/>
      <c r="G24" s="45"/>
      <c r="H24" s="45"/>
      <c r="I24" s="45"/>
      <c r="J24" s="45"/>
      <c r="K24" s="45"/>
      <c r="M24" s="38"/>
    </row>
    <row r="25" spans="1:13" s="33" customFormat="1" ht="30" customHeight="1" thickBot="1" x14ac:dyDescent="0.4">
      <c r="A25" s="31"/>
      <c r="B25" s="34">
        <v>6</v>
      </c>
      <c r="C25" s="42" t="str">
        <f ca="1">IF(ISBLANK(INDIRECT(ADDRESS(B25*2+2,3))),"",INDIRECT(ADDRESS(B25*2+2,3)))</f>
        <v>Буштрук</v>
      </c>
      <c r="D25" s="42"/>
      <c r="E25" s="43"/>
      <c r="F25" s="35">
        <v>3</v>
      </c>
      <c r="G25" s="36">
        <v>13</v>
      </c>
      <c r="H25" s="44" t="str">
        <f ca="1">IF(ISBLANK(INDIRECT(ADDRESS(K25*2+2,3))),"",INDIRECT(ADDRESS(K25*2+2,3)))</f>
        <v>Базарев</v>
      </c>
      <c r="I25" s="42"/>
      <c r="J25" s="42"/>
      <c r="K25" s="34">
        <v>4</v>
      </c>
      <c r="L25" s="37" t="s">
        <v>197</v>
      </c>
      <c r="M25" s="32"/>
    </row>
    <row r="26" spans="1:13" s="33" customFormat="1" ht="30" customHeight="1" thickBot="1" x14ac:dyDescent="0.4">
      <c r="A26" s="31"/>
      <c r="B26" s="34">
        <v>5</v>
      </c>
      <c r="C26" s="42" t="str">
        <f ca="1">IF(ISBLANK(INDIRECT(ADDRESS(B26*2+2,3))),"",INDIRECT(ADDRESS(B26*2+2,3)))</f>
        <v>Трушина</v>
      </c>
      <c r="D26" s="42"/>
      <c r="E26" s="43"/>
      <c r="F26" s="35">
        <v>5</v>
      </c>
      <c r="G26" s="36">
        <v>13</v>
      </c>
      <c r="H26" s="44" t="str">
        <f ca="1">IF(ISBLANK(INDIRECT(ADDRESS(K26*2+2,3))),"",INDIRECT(ADDRESS(K26*2+2,3)))</f>
        <v>Денисов</v>
      </c>
      <c r="I26" s="42"/>
      <c r="J26" s="42"/>
      <c r="K26" s="34">
        <v>3</v>
      </c>
      <c r="L26" s="37" t="s">
        <v>197</v>
      </c>
      <c r="M26" s="32"/>
    </row>
    <row r="27" spans="1:13" s="33" customFormat="1" ht="30" customHeight="1" thickBot="1" x14ac:dyDescent="0.4">
      <c r="A27" s="31"/>
      <c r="B27" s="34">
        <v>1</v>
      </c>
      <c r="C27" s="42" t="str">
        <f ca="1">IF(ISBLANK(INDIRECT(ADDRESS(B27*2+2,3))),"",INDIRECT(ADDRESS(B27*2+2,3)))</f>
        <v>Хафидо</v>
      </c>
      <c r="D27" s="42"/>
      <c r="E27" s="43"/>
      <c r="F27" s="35">
        <v>13</v>
      </c>
      <c r="G27" s="36">
        <v>11</v>
      </c>
      <c r="H27" s="44" t="str">
        <f ca="1">IF(ISBLANK(INDIRECT(ADDRESS(K27*2+2,3))),"",INDIRECT(ADDRESS(K27*2+2,3)))</f>
        <v>Бирюкова</v>
      </c>
      <c r="I27" s="42"/>
      <c r="J27" s="42"/>
      <c r="K27" s="34">
        <v>2</v>
      </c>
      <c r="L27" s="37" t="s">
        <v>197</v>
      </c>
      <c r="M27" s="32"/>
    </row>
    <row r="28" spans="1:13" s="33" customFormat="1" ht="30" customHeight="1" x14ac:dyDescent="0.35">
      <c r="A28" s="31"/>
      <c r="M28" s="38"/>
    </row>
    <row r="29" spans="1:13" s="33" customFormat="1" ht="30" customHeight="1" thickBot="1" x14ac:dyDescent="0.4">
      <c r="A29" s="31"/>
      <c r="B29" s="45" t="s">
        <v>199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30" customHeight="1" thickBot="1" x14ac:dyDescent="0.4">
      <c r="A30" s="31"/>
      <c r="B30" s="34">
        <v>2</v>
      </c>
      <c r="C30" s="42" t="str">
        <f ca="1">IF(ISBLANK(INDIRECT(ADDRESS(B30*2+2,3))),"",INDIRECT(ADDRESS(B30*2+2,3)))</f>
        <v>Бирюкова</v>
      </c>
      <c r="D30" s="42"/>
      <c r="E30" s="43"/>
      <c r="F30" s="35">
        <v>12</v>
      </c>
      <c r="G30" s="36">
        <v>6</v>
      </c>
      <c r="H30" s="44" t="str">
        <f ca="1">IF(ISBLANK(INDIRECT(ADDRESS(K30*2+2,3))),"",INDIRECT(ADDRESS(K30*2+2,3)))</f>
        <v>Буштрук</v>
      </c>
      <c r="I30" s="42"/>
      <c r="J30" s="42"/>
      <c r="K30" s="34">
        <v>6</v>
      </c>
      <c r="L30" s="37" t="s">
        <v>197</v>
      </c>
      <c r="M30" s="32"/>
    </row>
    <row r="31" spans="1:13" s="33" customFormat="1" ht="30" customHeight="1" thickBot="1" x14ac:dyDescent="0.4">
      <c r="A31" s="31"/>
      <c r="B31" s="34">
        <v>3</v>
      </c>
      <c r="C31" s="42" t="str">
        <f ca="1">IF(ISBLANK(INDIRECT(ADDRESS(B31*2+2,3))),"",INDIRECT(ADDRESS(B31*2+2,3)))</f>
        <v>Денисов</v>
      </c>
      <c r="D31" s="42"/>
      <c r="E31" s="43"/>
      <c r="F31" s="35">
        <v>13</v>
      </c>
      <c r="G31" s="36">
        <v>0</v>
      </c>
      <c r="H31" s="44" t="str">
        <f ca="1">IF(ISBLANK(INDIRECT(ADDRESS(K31*2+2,3))),"",INDIRECT(ADDRESS(K31*2+2,3)))</f>
        <v>Хафидо</v>
      </c>
      <c r="I31" s="42"/>
      <c r="J31" s="42"/>
      <c r="K31" s="34">
        <v>1</v>
      </c>
      <c r="L31" s="37" t="s">
        <v>197</v>
      </c>
      <c r="M31" s="32"/>
    </row>
    <row r="32" spans="1:13" s="33" customFormat="1" ht="30" customHeight="1" thickBot="1" x14ac:dyDescent="0.4">
      <c r="A32" s="31"/>
      <c r="B32" s="34">
        <v>4</v>
      </c>
      <c r="C32" s="42" t="str">
        <f ca="1">IF(ISBLANK(INDIRECT(ADDRESS(B32*2+2,3))),"",INDIRECT(ADDRESS(B32*2+2,3)))</f>
        <v>Базарев</v>
      </c>
      <c r="D32" s="42"/>
      <c r="E32" s="43"/>
      <c r="F32" s="35">
        <v>13</v>
      </c>
      <c r="G32" s="36">
        <v>6</v>
      </c>
      <c r="H32" s="44" t="str">
        <f ca="1">IF(ISBLANK(INDIRECT(ADDRESS(K32*2+2,3))),"",INDIRECT(ADDRESS(K32*2+2,3)))</f>
        <v>Трушина</v>
      </c>
      <c r="I32" s="42"/>
      <c r="J32" s="42"/>
      <c r="K32" s="34">
        <v>5</v>
      </c>
      <c r="L32" s="37" t="s">
        <v>197</v>
      </c>
      <c r="M32" s="32"/>
    </row>
    <row r="33" spans="1:13" s="33" customFormat="1" ht="30" customHeight="1" x14ac:dyDescent="0.35">
      <c r="A33" s="31"/>
      <c r="M33" s="38"/>
    </row>
    <row r="34" spans="1:13" s="33" customFormat="1" ht="30" customHeight="1" thickBot="1" x14ac:dyDescent="0.4">
      <c r="A34" s="31"/>
      <c r="B34" s="45" t="s">
        <v>200</v>
      </c>
      <c r="C34" s="45"/>
      <c r="D34" s="45"/>
      <c r="E34" s="45"/>
      <c r="F34" s="45"/>
      <c r="G34" s="45"/>
      <c r="H34" s="45"/>
      <c r="I34" s="45"/>
      <c r="J34" s="45"/>
      <c r="K34" s="45"/>
      <c r="M34" s="38"/>
    </row>
    <row r="35" spans="1:13" s="33" customFormat="1" ht="30" customHeight="1" thickBot="1" x14ac:dyDescent="0.4">
      <c r="A35" s="31"/>
      <c r="B35" s="34">
        <v>6</v>
      </c>
      <c r="C35" s="42" t="str">
        <f ca="1">IF(ISBLANK(INDIRECT(ADDRESS(B35*2+2,3))),"",INDIRECT(ADDRESS(B35*2+2,3)))</f>
        <v>Буштрук</v>
      </c>
      <c r="D35" s="42"/>
      <c r="E35" s="43"/>
      <c r="F35" s="35">
        <v>3</v>
      </c>
      <c r="G35" s="36">
        <v>13</v>
      </c>
      <c r="H35" s="44" t="str">
        <f ca="1">IF(ISBLANK(INDIRECT(ADDRESS(K35*2+2,3))),"",INDIRECT(ADDRESS(K35*2+2,3)))</f>
        <v>Трушина</v>
      </c>
      <c r="I35" s="42"/>
      <c r="J35" s="42"/>
      <c r="K35" s="34">
        <v>5</v>
      </c>
      <c r="L35" s="37" t="s">
        <v>197</v>
      </c>
      <c r="M35" s="32"/>
    </row>
    <row r="36" spans="1:13" s="33" customFormat="1" ht="30" customHeight="1" thickBot="1" x14ac:dyDescent="0.4">
      <c r="A36" s="31"/>
      <c r="B36" s="34">
        <v>1</v>
      </c>
      <c r="C36" s="42" t="str">
        <f ca="1">IF(ISBLANK(INDIRECT(ADDRESS(B36*2+2,3))),"",INDIRECT(ADDRESS(B36*2+2,3)))</f>
        <v>Хафидо</v>
      </c>
      <c r="D36" s="42"/>
      <c r="E36" s="43"/>
      <c r="F36" s="35">
        <v>13</v>
      </c>
      <c r="G36" s="36">
        <v>5</v>
      </c>
      <c r="H36" s="44" t="str">
        <f ca="1">IF(ISBLANK(INDIRECT(ADDRESS(K36*2+2,3))),"",INDIRECT(ADDRESS(K36*2+2,3)))</f>
        <v>Базарев</v>
      </c>
      <c r="I36" s="42"/>
      <c r="J36" s="42"/>
      <c r="K36" s="34">
        <v>4</v>
      </c>
      <c r="L36" s="37" t="s">
        <v>197</v>
      </c>
      <c r="M36" s="32"/>
    </row>
    <row r="37" spans="1:13" s="33" customFormat="1" ht="30" customHeight="1" thickBot="1" x14ac:dyDescent="0.4">
      <c r="A37" s="31"/>
      <c r="B37" s="34">
        <v>2</v>
      </c>
      <c r="C37" s="42" t="str">
        <f ca="1">IF(ISBLANK(INDIRECT(ADDRESS(B37*2+2,3))),"",INDIRECT(ADDRESS(B37*2+2,3)))</f>
        <v>Бирюкова</v>
      </c>
      <c r="D37" s="42"/>
      <c r="E37" s="43"/>
      <c r="F37" s="35">
        <v>7</v>
      </c>
      <c r="G37" s="36">
        <v>11</v>
      </c>
      <c r="H37" s="44" t="str">
        <f ca="1">IF(ISBLANK(INDIRECT(ADDRESS(K37*2+2,3))),"",INDIRECT(ADDRESS(K37*2+2,3)))</f>
        <v>Денисов</v>
      </c>
      <c r="I37" s="42"/>
      <c r="J37" s="42"/>
      <c r="K37" s="34">
        <v>3</v>
      </c>
      <c r="L37" s="37" t="s">
        <v>197</v>
      </c>
      <c r="M37" s="32"/>
    </row>
    <row r="38" spans="1:13" s="33" customFormat="1" ht="30" customHeight="1" x14ac:dyDescent="0.35">
      <c r="A38" s="31"/>
      <c r="M38" s="38"/>
    </row>
    <row r="39" spans="1:13" s="33" customFormat="1" ht="30" customHeight="1" thickBot="1" x14ac:dyDescent="0.4">
      <c r="A39" s="31"/>
      <c r="B39" s="45" t="s">
        <v>201</v>
      </c>
      <c r="C39" s="45"/>
      <c r="D39" s="45"/>
      <c r="E39" s="45"/>
      <c r="F39" s="45"/>
      <c r="G39" s="45"/>
      <c r="H39" s="45"/>
      <c r="I39" s="45"/>
      <c r="J39" s="45"/>
      <c r="K39" s="45"/>
      <c r="M39" s="38"/>
    </row>
    <row r="40" spans="1:13" s="33" customFormat="1" ht="30" customHeight="1" thickBot="1" x14ac:dyDescent="0.4">
      <c r="A40" s="31"/>
      <c r="B40" s="34">
        <v>3</v>
      </c>
      <c r="C40" s="42" t="str">
        <f ca="1">IF(ISBLANK(INDIRECT(ADDRESS(B40*2+2,3))),"",INDIRECT(ADDRESS(B40*2+2,3)))</f>
        <v>Денисов</v>
      </c>
      <c r="D40" s="42"/>
      <c r="E40" s="43"/>
      <c r="F40" s="35">
        <v>13</v>
      </c>
      <c r="G40" s="36">
        <v>5</v>
      </c>
      <c r="H40" s="44" t="str">
        <f ca="1">IF(ISBLANK(INDIRECT(ADDRESS(K40*2+2,3))),"",INDIRECT(ADDRESS(K40*2+2,3)))</f>
        <v>Буштрук</v>
      </c>
      <c r="I40" s="42"/>
      <c r="J40" s="42"/>
      <c r="K40" s="34">
        <v>6</v>
      </c>
      <c r="L40" s="37" t="s">
        <v>197</v>
      </c>
      <c r="M40" s="32"/>
    </row>
    <row r="41" spans="1:13" s="33" customFormat="1" ht="30" customHeight="1" thickBot="1" x14ac:dyDescent="0.4">
      <c r="A41" s="31"/>
      <c r="B41" s="34">
        <v>4</v>
      </c>
      <c r="C41" s="42" t="str">
        <f ca="1">IF(ISBLANK(INDIRECT(ADDRESS(B41*2+2,3))),"",INDIRECT(ADDRESS(B41*2+2,3)))</f>
        <v>Базарев</v>
      </c>
      <c r="D41" s="42"/>
      <c r="E41" s="43"/>
      <c r="F41" s="35">
        <v>12</v>
      </c>
      <c r="G41" s="36">
        <v>8</v>
      </c>
      <c r="H41" s="44" t="str">
        <f ca="1">IF(ISBLANK(INDIRECT(ADDRESS(K41*2+2,3))),"",INDIRECT(ADDRESS(K41*2+2,3)))</f>
        <v>Бирюкова</v>
      </c>
      <c r="I41" s="42"/>
      <c r="J41" s="42"/>
      <c r="K41" s="34">
        <v>2</v>
      </c>
      <c r="L41" s="37" t="s">
        <v>197</v>
      </c>
      <c r="M41" s="32"/>
    </row>
    <row r="42" spans="1:13" s="33" customFormat="1" ht="30" customHeight="1" thickBot="1" x14ac:dyDescent="0.4">
      <c r="A42" s="31"/>
      <c r="B42" s="34">
        <v>5</v>
      </c>
      <c r="C42" s="42" t="str">
        <f ca="1">IF(ISBLANK(INDIRECT(ADDRESS(B42*2+2,3))),"",INDIRECT(ADDRESS(B42*2+2,3)))</f>
        <v>Трушина</v>
      </c>
      <c r="D42" s="42"/>
      <c r="E42" s="43"/>
      <c r="F42" s="35">
        <v>13</v>
      </c>
      <c r="G42" s="36">
        <v>5</v>
      </c>
      <c r="H42" s="44" t="str">
        <f ca="1">IF(ISBLANK(INDIRECT(ADDRESS(K42*2+2,3))),"",INDIRECT(ADDRESS(K42*2+2,3)))</f>
        <v>Хафидо</v>
      </c>
      <c r="I42" s="42"/>
      <c r="J42" s="42"/>
      <c r="K42" s="34">
        <v>1</v>
      </c>
      <c r="L42" s="37" t="s">
        <v>197</v>
      </c>
      <c r="M42" s="32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C8" activeCellId="1" sqref="C4:E5 C8:E9"/>
    </sheetView>
  </sheetViews>
  <sheetFormatPr defaultRowHeight="15" x14ac:dyDescent="0.25"/>
  <cols>
    <col min="1" max="1" width="4" style="8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1.5" x14ac:dyDescent="0.25">
      <c r="B1" s="64" t="s">
        <v>206</v>
      </c>
      <c r="C1" s="64"/>
      <c r="D1" s="64"/>
      <c r="E1" s="64"/>
      <c r="F1" s="64"/>
      <c r="G1" s="64"/>
      <c r="H1" s="64"/>
      <c r="I1" s="64"/>
      <c r="J1" s="64"/>
      <c r="K1" s="64"/>
      <c r="M1"/>
    </row>
    <row r="2" spans="2:13" ht="15.75" thickBot="1" x14ac:dyDescent="0.3">
      <c r="M2"/>
    </row>
    <row r="3" spans="2:13" ht="15.75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9" t="s">
        <v>192</v>
      </c>
      <c r="L3" s="10" t="s">
        <v>193</v>
      </c>
      <c r="M3" s="39" t="s">
        <v>194</v>
      </c>
    </row>
    <row r="4" spans="2:13" ht="21" x14ac:dyDescent="0.25">
      <c r="B4" s="68">
        <v>1</v>
      </c>
      <c r="C4" s="73" t="s">
        <v>60</v>
      </c>
      <c r="D4" s="74"/>
      <c r="E4" s="75"/>
      <c r="F4" s="14" t="s">
        <v>195</v>
      </c>
      <c r="G4" s="15" t="str">
        <f ca="1">INDIRECT(ADDRESS(23,6))&amp;":"&amp;INDIRECT(ADDRESS(23,7))</f>
        <v>13:0</v>
      </c>
      <c r="H4" s="15" t="str">
        <f ca="1">INDIRECT(ADDRESS(26,7))&amp;":"&amp;INDIRECT(ADDRESS(26,6))</f>
        <v>12:9</v>
      </c>
      <c r="I4" s="15" t="str">
        <f ca="1">INDIRECT(ADDRESS(30,6))&amp;":"&amp;INDIRECT(ADDRESS(30,7))</f>
        <v>9:10</v>
      </c>
      <c r="J4" s="16" t="str">
        <f ca="1">INDIRECT(ADDRESS(35,7))&amp;":"&amp;INDIRECT(ADDRESS(35,6))</f>
        <v>13:11</v>
      </c>
      <c r="K4" s="81">
        <f ca="1">IF(COUNT(F5:J5)=0,"",COUNTIF(F5:J5,"&gt;0")+0.5*COUNTIF(F5:J5,0))</f>
        <v>3</v>
      </c>
      <c r="L4" s="17"/>
      <c r="M4" s="80">
        <v>1</v>
      </c>
    </row>
    <row r="5" spans="2:13" ht="2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COLUMN())))=1,"",INDIRECT(ADDRESS(23,6))-INDIRECT(ADDRESS(23,7)))</f>
        <v>13</v>
      </c>
      <c r="H5" s="19">
        <f ca="1">IF(LEN(INDIRECT(ADDRESS(ROW()-1, COLUMN())))=1,"",INDIRECT(ADDRESS(26,7))-INDIRECT(ADDRESS(26,6)))</f>
        <v>3</v>
      </c>
      <c r="I5" s="19">
        <f ca="1">IF(LEN(INDIRECT(ADDRESS(ROW()-1, COLUMN())))=1,"",INDIRECT(ADDRESS(30,6))-INDIRECT(ADDRESS(30,7)))</f>
        <v>-1</v>
      </c>
      <c r="J5" s="20">
        <f ca="1">IF(LEN(INDIRECT(ADDRESS(ROW()-1, COLUMN())))=1,"",INDIRECT(ADDRESS(35,7))-INDIRECT(ADDRESS(35,6)))</f>
        <v>2</v>
      </c>
      <c r="K5" s="76"/>
      <c r="L5" s="19">
        <f ca="1">IF(COUNT(F5:J5)=0,"",SUM(F5:J5))</f>
        <v>17</v>
      </c>
      <c r="M5" s="77"/>
    </row>
    <row r="6" spans="2:13" ht="21" x14ac:dyDescent="0.25">
      <c r="B6" s="46">
        <v>2</v>
      </c>
      <c r="C6" s="48" t="s">
        <v>61</v>
      </c>
      <c r="D6" s="49"/>
      <c r="E6" s="50"/>
      <c r="F6" s="21" t="str">
        <f ca="1">INDIRECT(ADDRESS(23,7))&amp;":"&amp;INDIRECT(ADDRESS(23,6))</f>
        <v>0:13</v>
      </c>
      <c r="G6" s="22" t="s">
        <v>195</v>
      </c>
      <c r="H6" s="23" t="str">
        <f ca="1">INDIRECT(ADDRESS(31,6))&amp;":"&amp;INDIRECT(ADDRESS(31,7))</f>
        <v>9:10</v>
      </c>
      <c r="I6" s="23" t="str">
        <f ca="1">INDIRECT(ADDRESS(34,7))&amp;":"&amp;INDIRECT(ADDRESS(34,6))</f>
        <v>10:7</v>
      </c>
      <c r="J6" s="24" t="str">
        <f ca="1">INDIRECT(ADDRESS(18,6))&amp;":"&amp;INDIRECT(ADDRESS(18,7))</f>
        <v>13:10</v>
      </c>
      <c r="K6" s="76">
        <f ca="1">IF(COUNT(F7:J7)=0,"",COUNTIF(F7:J7,"&gt;0")+0.5*COUNTIF(F7:J7,0))</f>
        <v>2</v>
      </c>
      <c r="L6" s="19"/>
      <c r="M6" s="77">
        <v>3</v>
      </c>
    </row>
    <row r="7" spans="2:13" ht="21" x14ac:dyDescent="0.25">
      <c r="B7" s="58"/>
      <c r="C7" s="48"/>
      <c r="D7" s="49"/>
      <c r="E7" s="50"/>
      <c r="F7" s="25">
        <f ca="1">IF(LEN(INDIRECT(ADDRESS(ROW()-1, COLUMN())))=1,"",INDIRECT(ADDRESS(23,7))-INDIRECT(ADDRESS(23,6)))</f>
        <v>-13</v>
      </c>
      <c r="G7" s="26" t="s">
        <v>195</v>
      </c>
      <c r="H7" s="19">
        <f ca="1">IF(LEN(INDIRECT(ADDRESS(ROW()-1, COLUMN())))=1,"",INDIRECT(ADDRESS(31,6))-INDIRECT(ADDRESS(31,7)))</f>
        <v>-1</v>
      </c>
      <c r="I7" s="19">
        <f ca="1">IF(LEN(INDIRECT(ADDRESS(ROW()-1, COLUMN())))=1,"",INDIRECT(ADDRESS(34,7))-INDIRECT(ADDRESS(34,6)))</f>
        <v>3</v>
      </c>
      <c r="J7" s="20">
        <f ca="1">IF(LEN(INDIRECT(ADDRESS(ROW()-1, COLUMN())))=1,"",INDIRECT(ADDRESS(18,6))-INDIRECT(ADDRESS(18,7)))</f>
        <v>3</v>
      </c>
      <c r="K7" s="76"/>
      <c r="L7" s="19">
        <f ca="1">IF(COUNT(F7:J7)=0,"",SUM(F7:J7))</f>
        <v>-8</v>
      </c>
      <c r="M7" s="77"/>
    </row>
    <row r="8" spans="2:13" ht="21" x14ac:dyDescent="0.25">
      <c r="B8" s="46">
        <v>3</v>
      </c>
      <c r="C8" s="60" t="s">
        <v>65</v>
      </c>
      <c r="D8" s="61"/>
      <c r="E8" s="62"/>
      <c r="F8" s="21" t="str">
        <f ca="1">INDIRECT(ADDRESS(26,6))&amp;":"&amp;INDIRECT(ADDRESS(26,7))</f>
        <v>9:12</v>
      </c>
      <c r="G8" s="23" t="str">
        <f ca="1">INDIRECT(ADDRESS(31,7))&amp;":"&amp;INDIRECT(ADDRESS(31,6))</f>
        <v>10:9</v>
      </c>
      <c r="H8" s="22" t="s">
        <v>195</v>
      </c>
      <c r="I8" s="23" t="str">
        <f ca="1">INDIRECT(ADDRESS(19,6))&amp;":"&amp;INDIRECT(ADDRESS(19,7))</f>
        <v>13:5</v>
      </c>
      <c r="J8" s="24" t="str">
        <f ca="1">INDIRECT(ADDRESS(22,7))&amp;":"&amp;INDIRECT(ADDRESS(22,6))</f>
        <v>13:4</v>
      </c>
      <c r="K8" s="76">
        <f ca="1">IF(COUNT(F9:J9)=0,"",COUNTIF(F9:J9,"&gt;0")+0.5*COUNTIF(F9:J9,0))</f>
        <v>3</v>
      </c>
      <c r="L8" s="19"/>
      <c r="M8" s="77">
        <v>2</v>
      </c>
    </row>
    <row r="9" spans="2:13" ht="21" x14ac:dyDescent="0.25">
      <c r="B9" s="58"/>
      <c r="C9" s="60"/>
      <c r="D9" s="61"/>
      <c r="E9" s="62"/>
      <c r="F9" s="25">
        <f ca="1">IF(LEN(INDIRECT(ADDRESS(ROW()-1, COLUMN())))=1,"",INDIRECT(ADDRESS(26,6))-INDIRECT(ADDRESS(26,7)))</f>
        <v>-3</v>
      </c>
      <c r="G9" s="19">
        <f ca="1">IF(LEN(INDIRECT(ADDRESS(ROW()-1, COLUMN())))=1,"",INDIRECT(ADDRESS(31,7))-INDIRECT(ADDRESS(31,6)))</f>
        <v>1</v>
      </c>
      <c r="H9" s="26" t="s">
        <v>195</v>
      </c>
      <c r="I9" s="19">
        <f ca="1">IF(LEN(INDIRECT(ADDRESS(ROW()-1, COLUMN())))=1,"",INDIRECT(ADDRESS(19,6))-INDIRECT(ADDRESS(19,7)))</f>
        <v>8</v>
      </c>
      <c r="J9" s="20">
        <f ca="1">IF(LEN(INDIRECT(ADDRESS(ROW()-1, COLUMN())))=1,"",INDIRECT(ADDRESS(22,7))-INDIRECT(ADDRESS(22,6)))</f>
        <v>9</v>
      </c>
      <c r="K9" s="76"/>
      <c r="L9" s="19">
        <f ca="1">IF(COUNT(F9:J9)=0,"",SUM(F9:J9))</f>
        <v>15</v>
      </c>
      <c r="M9" s="77"/>
    </row>
    <row r="10" spans="2:13" ht="21" x14ac:dyDescent="0.25">
      <c r="B10" s="46">
        <v>4</v>
      </c>
      <c r="C10" s="48" t="s">
        <v>59</v>
      </c>
      <c r="D10" s="49"/>
      <c r="E10" s="50"/>
      <c r="F10" s="21" t="str">
        <f ca="1">INDIRECT(ADDRESS(30,7))&amp;":"&amp;INDIRECT(ADDRESS(30,6))</f>
        <v>10:9</v>
      </c>
      <c r="G10" s="23" t="str">
        <f ca="1">INDIRECT(ADDRESS(34,6))&amp;":"&amp;INDIRECT(ADDRESS(34,7))</f>
        <v>7:10</v>
      </c>
      <c r="H10" s="23" t="str">
        <f ca="1">INDIRECT(ADDRESS(19,7))&amp;":"&amp;INDIRECT(ADDRESS(19,6))</f>
        <v>5:13</v>
      </c>
      <c r="I10" s="22" t="s">
        <v>195</v>
      </c>
      <c r="J10" s="24" t="str">
        <f ca="1">INDIRECT(ADDRESS(27,6))&amp;":"&amp;INDIRECT(ADDRESS(27,7))</f>
        <v>9:5</v>
      </c>
      <c r="K10" s="76">
        <f ca="1">IF(COUNT(F11:J11)=0,"",COUNTIF(F11:J11,"&gt;0")+0.5*COUNTIF(F11:J11,0))</f>
        <v>2</v>
      </c>
      <c r="L10" s="19"/>
      <c r="M10" s="77">
        <v>4</v>
      </c>
    </row>
    <row r="11" spans="2:13" ht="21" x14ac:dyDescent="0.25">
      <c r="B11" s="58"/>
      <c r="C11" s="48"/>
      <c r="D11" s="49"/>
      <c r="E11" s="50"/>
      <c r="F11" s="25">
        <f ca="1">IF(LEN(INDIRECT(ADDRESS(ROW()-1, COLUMN())))=1,"",INDIRECT(ADDRESS(30,7))-INDIRECT(ADDRESS(30,6)))</f>
        <v>1</v>
      </c>
      <c r="G11" s="19">
        <f ca="1">IF(LEN(INDIRECT(ADDRESS(ROW()-1, COLUMN())))=1,"",INDIRECT(ADDRESS(34,6))-INDIRECT(ADDRESS(34,7)))</f>
        <v>-3</v>
      </c>
      <c r="H11" s="19">
        <f ca="1">IF(LEN(INDIRECT(ADDRESS(ROW()-1, COLUMN())))=1,"",INDIRECT(ADDRESS(19,7))-INDIRECT(ADDRESS(19,6)))</f>
        <v>-8</v>
      </c>
      <c r="I11" s="26" t="s">
        <v>195</v>
      </c>
      <c r="J11" s="20">
        <f ca="1">IF(LEN(INDIRECT(ADDRESS(ROW()-1, COLUMN())))=1,"",INDIRECT(ADDRESS(27,6))-INDIRECT(ADDRESS(27,7)))</f>
        <v>4</v>
      </c>
      <c r="K11" s="76"/>
      <c r="L11" s="19">
        <f ca="1">IF(COUNT(F11:J11)=0,"",SUM(F11:J11))</f>
        <v>-6</v>
      </c>
      <c r="M11" s="77"/>
    </row>
    <row r="12" spans="2:13" ht="21" x14ac:dyDescent="0.25">
      <c r="B12" s="46">
        <v>5</v>
      </c>
      <c r="C12" s="48" t="s">
        <v>62</v>
      </c>
      <c r="D12" s="49"/>
      <c r="E12" s="50"/>
      <c r="F12" s="21" t="str">
        <f ca="1">INDIRECT(ADDRESS(35,6))&amp;":"&amp;INDIRECT(ADDRESS(35,7))</f>
        <v>11:13</v>
      </c>
      <c r="G12" s="23" t="str">
        <f ca="1">INDIRECT(ADDRESS(18,7))&amp;":"&amp;INDIRECT(ADDRESS(18,6))</f>
        <v>10:13</v>
      </c>
      <c r="H12" s="23" t="str">
        <f ca="1">INDIRECT(ADDRESS(22,6))&amp;":"&amp;INDIRECT(ADDRESS(22,7))</f>
        <v>4:13</v>
      </c>
      <c r="I12" s="23" t="str">
        <f ca="1">INDIRECT(ADDRESS(27,7))&amp;":"&amp;INDIRECT(ADDRESS(27,6))</f>
        <v>5:9</v>
      </c>
      <c r="J12" s="27" t="s">
        <v>195</v>
      </c>
      <c r="K12" s="76">
        <f ca="1">IF(COUNT(F13:J13)=0,"",COUNTIF(F13:J13,"&gt;0")+0.5*COUNTIF(F13:J13,0))</f>
        <v>0</v>
      </c>
      <c r="L12" s="19"/>
      <c r="M12" s="77">
        <v>5</v>
      </c>
    </row>
    <row r="13" spans="2:13" ht="21.75" thickBot="1" x14ac:dyDescent="0.3">
      <c r="B13" s="47"/>
      <c r="C13" s="51"/>
      <c r="D13" s="52"/>
      <c r="E13" s="53"/>
      <c r="F13" s="28">
        <f ca="1">IF(LEN(INDIRECT(ADDRESS(ROW()-1, COLUMN())))=1,"",INDIRECT(ADDRESS(35,6))-INDIRECT(ADDRESS(35,7)))</f>
        <v>-2</v>
      </c>
      <c r="G13" s="29">
        <f ca="1">IF(LEN(INDIRECT(ADDRESS(ROW()-1, COLUMN())))=1,"",INDIRECT(ADDRESS(18,7))-INDIRECT(ADDRESS(18,6)))</f>
        <v>-3</v>
      </c>
      <c r="H13" s="29">
        <f ca="1">IF(LEN(INDIRECT(ADDRESS(ROW()-1, COLUMN())))=1,"",INDIRECT(ADDRESS(22,6))-INDIRECT(ADDRESS(22,7)))</f>
        <v>-9</v>
      </c>
      <c r="I13" s="29">
        <f ca="1">IF(LEN(INDIRECT(ADDRESS(ROW()-1, COLUMN())))=1,"",INDIRECT(ADDRESS(27,7))-INDIRECT(ADDRESS(27,6)))</f>
        <v>-4</v>
      </c>
      <c r="J13" s="30" t="s">
        <v>195</v>
      </c>
      <c r="K13" s="78"/>
      <c r="L13" s="29">
        <f ca="1">IF(COUNT(F13:J13)=0,"",SUM(F13:J13))</f>
        <v>-18</v>
      </c>
      <c r="M13" s="79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3" customFormat="1" ht="21.75" thickBot="1" x14ac:dyDescent="0.4">
      <c r="A17" s="31"/>
      <c r="B17" s="45" t="s">
        <v>196</v>
      </c>
      <c r="C17" s="45"/>
      <c r="D17" s="45"/>
      <c r="E17" s="45"/>
      <c r="F17" s="45"/>
      <c r="G17" s="45"/>
      <c r="H17" s="45"/>
      <c r="I17" s="45"/>
      <c r="J17" s="45"/>
      <c r="K17" s="45"/>
      <c r="M17" s="40"/>
    </row>
    <row r="18" spans="1:13" s="33" customFormat="1" ht="21.75" thickBot="1" x14ac:dyDescent="0.4">
      <c r="A18" s="31"/>
      <c r="B18" s="34">
        <v>2</v>
      </c>
      <c r="C18" s="42" t="str">
        <f ca="1">IF(ISBLANK(INDIRECT(ADDRESS(B18*2+2,3))),"",INDIRECT(ADDRESS(B18*2+2,3)))</f>
        <v>Хафизова</v>
      </c>
      <c r="D18" s="42"/>
      <c r="E18" s="43"/>
      <c r="F18" s="35">
        <v>13</v>
      </c>
      <c r="G18" s="36">
        <v>10</v>
      </c>
      <c r="H18" s="44" t="str">
        <f ca="1">IF(ISBLANK(INDIRECT(ADDRESS(K18*2+2,3))),"",INDIRECT(ADDRESS(K18*2+2,3)))</f>
        <v>Кайтукова</v>
      </c>
      <c r="I18" s="42"/>
      <c r="J18" s="42"/>
      <c r="K18" s="34">
        <v>5</v>
      </c>
      <c r="L18" s="37" t="s">
        <v>197</v>
      </c>
      <c r="M18" s="32"/>
    </row>
    <row r="19" spans="1:13" s="33" customFormat="1" ht="21.75" thickBot="1" x14ac:dyDescent="0.4">
      <c r="A19" s="31"/>
      <c r="B19" s="34">
        <v>3</v>
      </c>
      <c r="C19" s="42" t="str">
        <f ca="1">IF(ISBLANK(INDIRECT(ADDRESS(B19*2+2,3))),"",INDIRECT(ADDRESS(B19*2+2,3)))</f>
        <v>Федотовский</v>
      </c>
      <c r="D19" s="42"/>
      <c r="E19" s="43"/>
      <c r="F19" s="35">
        <v>13</v>
      </c>
      <c r="G19" s="36">
        <v>5</v>
      </c>
      <c r="H19" s="44" t="str">
        <f ca="1">IF(ISBLANK(INDIRECT(ADDRESS(K19*2+2,3))),"",INDIRECT(ADDRESS(K19*2+2,3)))</f>
        <v>Земцов</v>
      </c>
      <c r="I19" s="42"/>
      <c r="J19" s="42"/>
      <c r="K19" s="34">
        <v>4</v>
      </c>
      <c r="L19" s="37" t="s">
        <v>197</v>
      </c>
      <c r="M19" s="32"/>
    </row>
    <row r="20" spans="1:13" s="33" customFormat="1" ht="21" x14ac:dyDescent="0.35">
      <c r="A20" s="31"/>
      <c r="M20" s="38"/>
    </row>
    <row r="21" spans="1:13" s="33" customFormat="1" ht="21.75" thickBot="1" x14ac:dyDescent="0.4">
      <c r="A21" s="31"/>
      <c r="B21" s="45" t="s">
        <v>198</v>
      </c>
      <c r="C21" s="45"/>
      <c r="D21" s="45"/>
      <c r="E21" s="45"/>
      <c r="F21" s="45"/>
      <c r="G21" s="45"/>
      <c r="H21" s="45"/>
      <c r="I21" s="45"/>
      <c r="J21" s="45"/>
      <c r="K21" s="45"/>
      <c r="M21" s="38"/>
    </row>
    <row r="22" spans="1:13" s="33" customFormat="1" ht="21.75" thickBot="1" x14ac:dyDescent="0.4">
      <c r="A22" s="31"/>
      <c r="B22" s="34">
        <v>5</v>
      </c>
      <c r="C22" s="42" t="str">
        <f ca="1">IF(ISBLANK(INDIRECT(ADDRESS(B22*2+2,3))),"",INDIRECT(ADDRESS(B22*2+2,3)))</f>
        <v>Кайтукова</v>
      </c>
      <c r="D22" s="42"/>
      <c r="E22" s="43"/>
      <c r="F22" s="35">
        <v>4</v>
      </c>
      <c r="G22" s="36">
        <v>13</v>
      </c>
      <c r="H22" s="44" t="str">
        <f ca="1">IF(ISBLANK(INDIRECT(ADDRESS(K22*2+2,3))),"",INDIRECT(ADDRESS(K22*2+2,3)))</f>
        <v>Федотовский</v>
      </c>
      <c r="I22" s="42"/>
      <c r="J22" s="42"/>
      <c r="K22" s="34">
        <v>3</v>
      </c>
      <c r="L22" s="37" t="s">
        <v>197</v>
      </c>
      <c r="M22" s="32"/>
    </row>
    <row r="23" spans="1:13" s="33" customFormat="1" ht="21.75" thickBot="1" x14ac:dyDescent="0.4">
      <c r="A23" s="31"/>
      <c r="B23" s="34">
        <v>1</v>
      </c>
      <c r="C23" s="42" t="str">
        <f ca="1">IF(ISBLANK(INDIRECT(ADDRESS(B23*2+2,3))),"",INDIRECT(ADDRESS(B23*2+2,3)))</f>
        <v>Догадин</v>
      </c>
      <c r="D23" s="42"/>
      <c r="E23" s="43"/>
      <c r="F23" s="35">
        <v>13</v>
      </c>
      <c r="G23" s="36">
        <v>0</v>
      </c>
      <c r="H23" s="44" t="str">
        <f ca="1">IF(ISBLANK(INDIRECT(ADDRESS(K23*2+2,3))),"",INDIRECT(ADDRESS(K23*2+2,3)))</f>
        <v>Хафизова</v>
      </c>
      <c r="I23" s="42"/>
      <c r="J23" s="42"/>
      <c r="K23" s="34">
        <v>2</v>
      </c>
      <c r="L23" s="37" t="s">
        <v>197</v>
      </c>
      <c r="M23" s="32"/>
    </row>
    <row r="24" spans="1:13" s="33" customFormat="1" ht="21" x14ac:dyDescent="0.35">
      <c r="A24" s="31"/>
      <c r="M24" s="38"/>
    </row>
    <row r="25" spans="1:13" s="33" customFormat="1" ht="21.75" thickBot="1" x14ac:dyDescent="0.4">
      <c r="A25" s="31"/>
      <c r="B25" s="45" t="s">
        <v>199</v>
      </c>
      <c r="C25" s="45"/>
      <c r="D25" s="45"/>
      <c r="E25" s="45"/>
      <c r="F25" s="45"/>
      <c r="G25" s="45"/>
      <c r="H25" s="45"/>
      <c r="I25" s="45"/>
      <c r="J25" s="45"/>
      <c r="K25" s="45"/>
      <c r="M25" s="38"/>
    </row>
    <row r="26" spans="1:13" s="33" customFormat="1" ht="21.75" thickBot="1" x14ac:dyDescent="0.4">
      <c r="A26" s="31"/>
      <c r="B26" s="34">
        <v>3</v>
      </c>
      <c r="C26" s="42" t="str">
        <f ca="1">IF(ISBLANK(INDIRECT(ADDRESS(B26*2+2,3))),"",INDIRECT(ADDRESS(B26*2+2,3)))</f>
        <v>Федотовский</v>
      </c>
      <c r="D26" s="42"/>
      <c r="E26" s="43"/>
      <c r="F26" s="35">
        <v>9</v>
      </c>
      <c r="G26" s="36">
        <v>12</v>
      </c>
      <c r="H26" s="44" t="str">
        <f ca="1">IF(ISBLANK(INDIRECT(ADDRESS(K26*2+2,3))),"",INDIRECT(ADDRESS(K26*2+2,3)))</f>
        <v>Догадин</v>
      </c>
      <c r="I26" s="42"/>
      <c r="J26" s="42"/>
      <c r="K26" s="34">
        <v>1</v>
      </c>
      <c r="L26" s="37" t="s">
        <v>197</v>
      </c>
      <c r="M26" s="32"/>
    </row>
    <row r="27" spans="1:13" s="33" customFormat="1" ht="21.75" thickBot="1" x14ac:dyDescent="0.4">
      <c r="A27" s="31"/>
      <c r="B27" s="34">
        <v>4</v>
      </c>
      <c r="C27" s="42" t="str">
        <f ca="1">IF(ISBLANK(INDIRECT(ADDRESS(B27*2+2,3))),"",INDIRECT(ADDRESS(B27*2+2,3)))</f>
        <v>Земцов</v>
      </c>
      <c r="D27" s="42"/>
      <c r="E27" s="43"/>
      <c r="F27" s="35">
        <v>9</v>
      </c>
      <c r="G27" s="36">
        <v>5</v>
      </c>
      <c r="H27" s="44" t="str">
        <f ca="1">IF(ISBLANK(INDIRECT(ADDRESS(K27*2+2,3))),"",INDIRECT(ADDRESS(K27*2+2,3)))</f>
        <v>Кайтукова</v>
      </c>
      <c r="I27" s="42"/>
      <c r="J27" s="42"/>
      <c r="K27" s="34">
        <v>5</v>
      </c>
      <c r="L27" s="37" t="s">
        <v>197</v>
      </c>
      <c r="M27" s="32"/>
    </row>
    <row r="28" spans="1:13" s="33" customFormat="1" ht="21" x14ac:dyDescent="0.35">
      <c r="A28" s="31"/>
      <c r="M28" s="38"/>
    </row>
    <row r="29" spans="1:13" s="33" customFormat="1" ht="21.75" thickBot="1" x14ac:dyDescent="0.4">
      <c r="A29" s="31"/>
      <c r="B29" s="45" t="s">
        <v>200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21.75" thickBot="1" x14ac:dyDescent="0.4">
      <c r="A30" s="31"/>
      <c r="B30" s="34">
        <v>1</v>
      </c>
      <c r="C30" s="42" t="str">
        <f ca="1">IF(ISBLANK(INDIRECT(ADDRESS(B30*2+2,3))),"",INDIRECT(ADDRESS(B30*2+2,3)))</f>
        <v>Догадин</v>
      </c>
      <c r="D30" s="42"/>
      <c r="E30" s="43"/>
      <c r="F30" s="35">
        <v>9</v>
      </c>
      <c r="G30" s="36">
        <v>10</v>
      </c>
      <c r="H30" s="44" t="str">
        <f ca="1">IF(ISBLANK(INDIRECT(ADDRESS(K30*2+2,3))),"",INDIRECT(ADDRESS(K30*2+2,3)))</f>
        <v>Земцов</v>
      </c>
      <c r="I30" s="42"/>
      <c r="J30" s="42"/>
      <c r="K30" s="34">
        <v>4</v>
      </c>
      <c r="L30" s="37" t="s">
        <v>197</v>
      </c>
      <c r="M30" s="32"/>
    </row>
    <row r="31" spans="1:13" s="33" customFormat="1" ht="21.75" thickBot="1" x14ac:dyDescent="0.4">
      <c r="A31" s="31"/>
      <c r="B31" s="34">
        <v>2</v>
      </c>
      <c r="C31" s="42" t="str">
        <f ca="1">IF(ISBLANK(INDIRECT(ADDRESS(B31*2+2,3))),"",INDIRECT(ADDRESS(B31*2+2,3)))</f>
        <v>Хафизова</v>
      </c>
      <c r="D31" s="42"/>
      <c r="E31" s="43"/>
      <c r="F31" s="35">
        <v>9</v>
      </c>
      <c r="G31" s="36">
        <v>10</v>
      </c>
      <c r="H31" s="44" t="str">
        <f ca="1">IF(ISBLANK(INDIRECT(ADDRESS(K31*2+2,3))),"",INDIRECT(ADDRESS(K31*2+2,3)))</f>
        <v>Федотовский</v>
      </c>
      <c r="I31" s="42"/>
      <c r="J31" s="42"/>
      <c r="K31" s="34">
        <v>3</v>
      </c>
      <c r="L31" s="37" t="s">
        <v>197</v>
      </c>
      <c r="M31" s="32"/>
    </row>
    <row r="32" spans="1:13" s="33" customFormat="1" ht="21" x14ac:dyDescent="0.35">
      <c r="A32" s="31"/>
      <c r="M32" s="38"/>
    </row>
    <row r="33" spans="1:13" s="33" customFormat="1" ht="21.75" thickBot="1" x14ac:dyDescent="0.4">
      <c r="A33" s="31"/>
      <c r="B33" s="45" t="s">
        <v>201</v>
      </c>
      <c r="C33" s="45"/>
      <c r="D33" s="45"/>
      <c r="E33" s="45"/>
      <c r="F33" s="45"/>
      <c r="G33" s="45"/>
      <c r="H33" s="45"/>
      <c r="I33" s="45"/>
      <c r="J33" s="45"/>
      <c r="K33" s="45"/>
      <c r="M33" s="38"/>
    </row>
    <row r="34" spans="1:13" s="33" customFormat="1" ht="21.75" thickBot="1" x14ac:dyDescent="0.4">
      <c r="A34" s="31"/>
      <c r="B34" s="34">
        <v>4</v>
      </c>
      <c r="C34" s="42" t="str">
        <f ca="1">IF(ISBLANK(INDIRECT(ADDRESS(B34*2+2,3))),"",INDIRECT(ADDRESS(B34*2+2,3)))</f>
        <v>Земцов</v>
      </c>
      <c r="D34" s="42"/>
      <c r="E34" s="43"/>
      <c r="F34" s="35">
        <v>7</v>
      </c>
      <c r="G34" s="36">
        <v>10</v>
      </c>
      <c r="H34" s="44" t="str">
        <f ca="1">IF(ISBLANK(INDIRECT(ADDRESS(K34*2+2,3))),"",INDIRECT(ADDRESS(K34*2+2,3)))</f>
        <v>Хафизова</v>
      </c>
      <c r="I34" s="42"/>
      <c r="J34" s="42"/>
      <c r="K34" s="34">
        <v>2</v>
      </c>
      <c r="L34" s="37" t="s">
        <v>197</v>
      </c>
      <c r="M34" s="32"/>
    </row>
    <row r="35" spans="1:13" s="33" customFormat="1" ht="21.75" thickBot="1" x14ac:dyDescent="0.4">
      <c r="A35" s="31"/>
      <c r="B35" s="34">
        <v>5</v>
      </c>
      <c r="C35" s="42" t="str">
        <f ca="1">IF(ISBLANK(INDIRECT(ADDRESS(B35*2+2,3))),"",INDIRECT(ADDRESS(B35*2+2,3)))</f>
        <v>Кайтукова</v>
      </c>
      <c r="D35" s="42"/>
      <c r="E35" s="43"/>
      <c r="F35" s="35">
        <v>11</v>
      </c>
      <c r="G35" s="36">
        <v>13</v>
      </c>
      <c r="H35" s="44" t="str">
        <f ca="1">IF(ISBLANK(INDIRECT(ADDRESS(K35*2+2,3))),"",INDIRECT(ADDRESS(K35*2+2,3)))</f>
        <v>Догадин</v>
      </c>
      <c r="I35" s="42"/>
      <c r="J35" s="42"/>
      <c r="K35" s="34">
        <v>1</v>
      </c>
      <c r="L35" s="37" t="s">
        <v>197</v>
      </c>
      <c r="M35" s="32"/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C8" sqref="C8:E9"/>
    </sheetView>
  </sheetViews>
  <sheetFormatPr defaultRowHeight="15" x14ac:dyDescent="0.25"/>
  <cols>
    <col min="1" max="1" width="4" style="8" customWidth="1"/>
    <col min="2" max="12" width="10.28515625" customWidth="1"/>
    <col min="13" max="13" width="10.28515625" style="41" customWidth="1"/>
    <col min="14" max="15" width="10.28515625" customWidth="1"/>
  </cols>
  <sheetData>
    <row r="1" spans="2:13" ht="31.5" x14ac:dyDescent="0.25">
      <c r="B1" s="64" t="s">
        <v>207</v>
      </c>
      <c r="C1" s="64"/>
      <c r="D1" s="64"/>
      <c r="E1" s="64"/>
      <c r="F1" s="64"/>
      <c r="G1" s="64"/>
      <c r="H1" s="64"/>
      <c r="I1" s="64"/>
      <c r="J1" s="64"/>
      <c r="K1" s="64"/>
      <c r="M1"/>
    </row>
    <row r="2" spans="2:13" ht="15.75" thickBot="1" x14ac:dyDescent="0.3">
      <c r="M2"/>
    </row>
    <row r="3" spans="2:13" ht="15.75" thickBot="1" x14ac:dyDescent="0.3">
      <c r="B3" s="9"/>
      <c r="C3" s="65" t="s">
        <v>191</v>
      </c>
      <c r="D3" s="66"/>
      <c r="E3" s="67"/>
      <c r="F3" s="10">
        <v>1</v>
      </c>
      <c r="G3" s="10">
        <v>2</v>
      </c>
      <c r="H3" s="10">
        <v>3</v>
      </c>
      <c r="I3" s="11">
        <v>4</v>
      </c>
      <c r="J3" s="11">
        <v>5</v>
      </c>
      <c r="K3" s="9" t="s">
        <v>192</v>
      </c>
      <c r="L3" s="10" t="s">
        <v>193</v>
      </c>
      <c r="M3" s="39" t="s">
        <v>194</v>
      </c>
    </row>
    <row r="4" spans="2:13" ht="21" x14ac:dyDescent="0.25">
      <c r="B4" s="68">
        <v>1</v>
      </c>
      <c r="C4" s="73" t="s">
        <v>216</v>
      </c>
      <c r="D4" s="74"/>
      <c r="E4" s="75"/>
      <c r="F4" s="14" t="s">
        <v>195</v>
      </c>
      <c r="G4" s="15" t="str">
        <f ca="1">INDIRECT(ADDRESS(23,6))&amp;":"&amp;INDIRECT(ADDRESS(23,7))</f>
        <v>10:8</v>
      </c>
      <c r="H4" s="15" t="str">
        <f ca="1">INDIRECT(ADDRESS(26,7))&amp;":"&amp;INDIRECT(ADDRESS(26,6))</f>
        <v>11:13</v>
      </c>
      <c r="I4" s="15" t="str">
        <f ca="1">INDIRECT(ADDRESS(30,6))&amp;":"&amp;INDIRECT(ADDRESS(30,7))</f>
        <v>13:0</v>
      </c>
      <c r="J4" s="16" t="str">
        <f ca="1">INDIRECT(ADDRESS(35,7))&amp;":"&amp;INDIRECT(ADDRESS(35,6))</f>
        <v>13:0</v>
      </c>
      <c r="K4" s="81">
        <f ca="1">IF(COUNT(F5:J5)=0,"",COUNTIF(F5:J5,"&gt;0")+0.5*COUNTIF(F5:J5,0))</f>
        <v>3</v>
      </c>
      <c r="L4" s="17">
        <v>0</v>
      </c>
      <c r="M4" s="80">
        <v>2</v>
      </c>
    </row>
    <row r="5" spans="2:13" ht="21" x14ac:dyDescent="0.25">
      <c r="B5" s="58"/>
      <c r="C5" s="60"/>
      <c r="D5" s="61"/>
      <c r="E5" s="62"/>
      <c r="F5" s="18" t="s">
        <v>195</v>
      </c>
      <c r="G5" s="19">
        <f ca="1">IF(LEN(INDIRECT(ADDRESS(ROW()-1, COLUMN())))=1,"",INDIRECT(ADDRESS(23,6))-INDIRECT(ADDRESS(23,7)))</f>
        <v>2</v>
      </c>
      <c r="H5" s="19">
        <f ca="1">IF(LEN(INDIRECT(ADDRESS(ROW()-1, COLUMN())))=1,"",INDIRECT(ADDRESS(26,7))-INDIRECT(ADDRESS(26,6)))</f>
        <v>-2</v>
      </c>
      <c r="I5" s="19">
        <f ca="1">IF(LEN(INDIRECT(ADDRESS(ROW()-1, COLUMN())))=1,"",INDIRECT(ADDRESS(30,6))-INDIRECT(ADDRESS(30,7)))</f>
        <v>13</v>
      </c>
      <c r="J5" s="20">
        <f ca="1">IF(LEN(INDIRECT(ADDRESS(ROW()-1, COLUMN())))=1,"",INDIRECT(ADDRESS(35,7))-INDIRECT(ADDRESS(35,6)))</f>
        <v>13</v>
      </c>
      <c r="K5" s="76"/>
      <c r="L5" s="19">
        <f ca="1">IF(COUNT(F5:J5)=0,"",SUM(F5:J5))</f>
        <v>26</v>
      </c>
      <c r="M5" s="77"/>
    </row>
    <row r="6" spans="2:13" ht="21" x14ac:dyDescent="0.25">
      <c r="B6" s="46">
        <v>2</v>
      </c>
      <c r="C6" s="60" t="s">
        <v>50</v>
      </c>
      <c r="D6" s="61"/>
      <c r="E6" s="62"/>
      <c r="F6" s="21" t="str">
        <f ca="1">INDIRECT(ADDRESS(23,7))&amp;":"&amp;INDIRECT(ADDRESS(23,6))</f>
        <v>8:10</v>
      </c>
      <c r="G6" s="22" t="s">
        <v>195</v>
      </c>
      <c r="H6" s="23" t="str">
        <f ca="1">INDIRECT(ADDRESS(31,6))&amp;":"&amp;INDIRECT(ADDRESS(31,7))</f>
        <v>13:5</v>
      </c>
      <c r="I6" s="23" t="str">
        <f ca="1">INDIRECT(ADDRESS(34,7))&amp;":"&amp;INDIRECT(ADDRESS(34,6))</f>
        <v>13:10</v>
      </c>
      <c r="J6" s="24" t="str">
        <f ca="1">INDIRECT(ADDRESS(18,6))&amp;":"&amp;INDIRECT(ADDRESS(18,7))</f>
        <v>12:7</v>
      </c>
      <c r="K6" s="76">
        <f ca="1">IF(COUNT(F7:J7)=0,"",COUNTIF(F7:J7,"&gt;0")+0.5*COUNTIF(F7:J7,0))</f>
        <v>3</v>
      </c>
      <c r="L6" s="19">
        <v>6</v>
      </c>
      <c r="M6" s="77">
        <v>1</v>
      </c>
    </row>
    <row r="7" spans="2:13" ht="21" x14ac:dyDescent="0.25">
      <c r="B7" s="58"/>
      <c r="C7" s="60"/>
      <c r="D7" s="61"/>
      <c r="E7" s="62"/>
      <c r="F7" s="25">
        <f ca="1">IF(LEN(INDIRECT(ADDRESS(ROW()-1, COLUMN())))=1,"",INDIRECT(ADDRESS(23,7))-INDIRECT(ADDRESS(23,6)))</f>
        <v>-2</v>
      </c>
      <c r="G7" s="26" t="s">
        <v>195</v>
      </c>
      <c r="H7" s="19">
        <f ca="1">IF(LEN(INDIRECT(ADDRESS(ROW()-1, COLUMN())))=1,"",INDIRECT(ADDRESS(31,6))-INDIRECT(ADDRESS(31,7)))</f>
        <v>8</v>
      </c>
      <c r="I7" s="19">
        <f ca="1">IF(LEN(INDIRECT(ADDRESS(ROW()-1, COLUMN())))=1,"",INDIRECT(ADDRESS(34,7))-INDIRECT(ADDRESS(34,6)))</f>
        <v>3</v>
      </c>
      <c r="J7" s="20">
        <f ca="1">IF(LEN(INDIRECT(ADDRESS(ROW()-1, COLUMN())))=1,"",INDIRECT(ADDRESS(18,6))-INDIRECT(ADDRESS(18,7)))</f>
        <v>5</v>
      </c>
      <c r="K7" s="76"/>
      <c r="L7" s="19">
        <f ca="1">IF(COUNT(F7:J7)=0,"",SUM(F7:J7))</f>
        <v>14</v>
      </c>
      <c r="M7" s="77"/>
    </row>
    <row r="8" spans="2:13" ht="21" x14ac:dyDescent="0.25">
      <c r="B8" s="46">
        <v>3</v>
      </c>
      <c r="C8" s="60" t="s">
        <v>52</v>
      </c>
      <c r="D8" s="61"/>
      <c r="E8" s="62"/>
      <c r="F8" s="21" t="str">
        <f ca="1">INDIRECT(ADDRESS(26,6))&amp;":"&amp;INDIRECT(ADDRESS(26,7))</f>
        <v>13:11</v>
      </c>
      <c r="G8" s="23" t="str">
        <f ca="1">INDIRECT(ADDRESS(31,7))&amp;":"&amp;INDIRECT(ADDRESS(31,6))</f>
        <v>5:13</v>
      </c>
      <c r="H8" s="22" t="s">
        <v>195</v>
      </c>
      <c r="I8" s="23" t="str">
        <f ca="1">INDIRECT(ADDRESS(19,6))&amp;":"&amp;INDIRECT(ADDRESS(19,7))</f>
        <v>13:8</v>
      </c>
      <c r="J8" s="24" t="str">
        <f ca="1">INDIRECT(ADDRESS(22,7))&amp;":"&amp;INDIRECT(ADDRESS(22,6))</f>
        <v>12:8</v>
      </c>
      <c r="K8" s="76">
        <f ca="1">IF(COUNT(F9:J9)=0,"",COUNTIF(F9:J9,"&gt;0")+0.5*COUNTIF(F9:J9,0))</f>
        <v>3</v>
      </c>
      <c r="L8" s="19">
        <v>-6</v>
      </c>
      <c r="M8" s="77">
        <v>3</v>
      </c>
    </row>
    <row r="9" spans="2:13" ht="21" x14ac:dyDescent="0.25">
      <c r="B9" s="58"/>
      <c r="C9" s="60"/>
      <c r="D9" s="61"/>
      <c r="E9" s="62"/>
      <c r="F9" s="25">
        <f ca="1">IF(LEN(INDIRECT(ADDRESS(ROW()-1, COLUMN())))=1,"",INDIRECT(ADDRESS(26,6))-INDIRECT(ADDRESS(26,7)))</f>
        <v>2</v>
      </c>
      <c r="G9" s="19">
        <f ca="1">IF(LEN(INDIRECT(ADDRESS(ROW()-1, COLUMN())))=1,"",INDIRECT(ADDRESS(31,7))-INDIRECT(ADDRESS(31,6)))</f>
        <v>-8</v>
      </c>
      <c r="H9" s="26" t="s">
        <v>195</v>
      </c>
      <c r="I9" s="19">
        <f ca="1">IF(LEN(INDIRECT(ADDRESS(ROW()-1, COLUMN())))=1,"",INDIRECT(ADDRESS(19,6))-INDIRECT(ADDRESS(19,7)))</f>
        <v>5</v>
      </c>
      <c r="J9" s="20">
        <f ca="1">IF(LEN(INDIRECT(ADDRESS(ROW()-1, COLUMN())))=1,"",INDIRECT(ADDRESS(22,7))-INDIRECT(ADDRESS(22,6)))</f>
        <v>4</v>
      </c>
      <c r="K9" s="76"/>
      <c r="L9" s="19">
        <f ca="1">IF(COUNT(F9:J9)=0,"",SUM(F9:J9))</f>
        <v>3</v>
      </c>
      <c r="M9" s="77"/>
    </row>
    <row r="10" spans="2:13" ht="21" x14ac:dyDescent="0.25">
      <c r="B10" s="46">
        <v>4</v>
      </c>
      <c r="C10" s="48" t="s">
        <v>48</v>
      </c>
      <c r="D10" s="49"/>
      <c r="E10" s="50"/>
      <c r="F10" s="21" t="str">
        <f ca="1">INDIRECT(ADDRESS(30,7))&amp;":"&amp;INDIRECT(ADDRESS(30,6))</f>
        <v>0:13</v>
      </c>
      <c r="G10" s="23" t="str">
        <f ca="1">INDIRECT(ADDRESS(34,6))&amp;":"&amp;INDIRECT(ADDRESS(34,7))</f>
        <v>10:13</v>
      </c>
      <c r="H10" s="23" t="str">
        <f ca="1">INDIRECT(ADDRESS(19,7))&amp;":"&amp;INDIRECT(ADDRESS(19,6))</f>
        <v>8:13</v>
      </c>
      <c r="I10" s="22" t="s">
        <v>195</v>
      </c>
      <c r="J10" s="24" t="str">
        <f ca="1">INDIRECT(ADDRESS(27,6))&amp;":"&amp;INDIRECT(ADDRESS(27,7))</f>
        <v>10:11</v>
      </c>
      <c r="K10" s="76">
        <f ca="1">IF(COUNT(F11:J11)=0,"",COUNTIF(F11:J11,"&gt;0")+0.5*COUNTIF(F11:J11,0))</f>
        <v>0</v>
      </c>
      <c r="L10" s="19"/>
      <c r="M10" s="77">
        <v>6</v>
      </c>
    </row>
    <row r="11" spans="2:13" ht="21" x14ac:dyDescent="0.25">
      <c r="B11" s="58"/>
      <c r="C11" s="48"/>
      <c r="D11" s="49"/>
      <c r="E11" s="50"/>
      <c r="F11" s="25">
        <f ca="1">IF(LEN(INDIRECT(ADDRESS(ROW()-1, COLUMN())))=1,"",INDIRECT(ADDRESS(30,7))-INDIRECT(ADDRESS(30,6)))</f>
        <v>-13</v>
      </c>
      <c r="G11" s="19">
        <f ca="1">IF(LEN(INDIRECT(ADDRESS(ROW()-1, COLUMN())))=1,"",INDIRECT(ADDRESS(34,6))-INDIRECT(ADDRESS(34,7)))</f>
        <v>-3</v>
      </c>
      <c r="H11" s="19">
        <f ca="1">IF(LEN(INDIRECT(ADDRESS(ROW()-1, COLUMN())))=1,"",INDIRECT(ADDRESS(19,7))-INDIRECT(ADDRESS(19,6)))</f>
        <v>-5</v>
      </c>
      <c r="I11" s="26" t="s">
        <v>195</v>
      </c>
      <c r="J11" s="20">
        <f ca="1">IF(LEN(INDIRECT(ADDRESS(ROW()-1, COLUMN())))=1,"",INDIRECT(ADDRESS(27,6))-INDIRECT(ADDRESS(27,7)))</f>
        <v>-1</v>
      </c>
      <c r="K11" s="76"/>
      <c r="L11" s="19">
        <f ca="1">IF(COUNT(F11:J11)=0,"",SUM(F11:J11))</f>
        <v>-22</v>
      </c>
      <c r="M11" s="77"/>
    </row>
    <row r="12" spans="2:13" ht="21" x14ac:dyDescent="0.25">
      <c r="B12" s="46">
        <v>5</v>
      </c>
      <c r="C12" s="48" t="s">
        <v>180</v>
      </c>
      <c r="D12" s="49"/>
      <c r="E12" s="50"/>
      <c r="F12" s="21" t="str">
        <f ca="1">INDIRECT(ADDRESS(35,6))&amp;":"&amp;INDIRECT(ADDRESS(35,7))</f>
        <v>0:13</v>
      </c>
      <c r="G12" s="23" t="str">
        <f ca="1">INDIRECT(ADDRESS(18,7))&amp;":"&amp;INDIRECT(ADDRESS(18,6))</f>
        <v>7:12</v>
      </c>
      <c r="H12" s="23" t="str">
        <f ca="1">INDIRECT(ADDRESS(22,6))&amp;":"&amp;INDIRECT(ADDRESS(22,7))</f>
        <v>8:12</v>
      </c>
      <c r="I12" s="23" t="str">
        <f ca="1">INDIRECT(ADDRESS(27,7))&amp;":"&amp;INDIRECT(ADDRESS(27,6))</f>
        <v>11:10</v>
      </c>
      <c r="J12" s="27" t="s">
        <v>195</v>
      </c>
      <c r="K12" s="76">
        <f ca="1">IF(COUNT(F13:J13)=0,"",COUNTIF(F13:J13,"&gt;0")+0.5*COUNTIF(F13:J13,0))</f>
        <v>1</v>
      </c>
      <c r="L12" s="19"/>
      <c r="M12" s="77">
        <v>4</v>
      </c>
    </row>
    <row r="13" spans="2:13" ht="21.75" thickBot="1" x14ac:dyDescent="0.3">
      <c r="B13" s="47"/>
      <c r="C13" s="51"/>
      <c r="D13" s="52"/>
      <c r="E13" s="53"/>
      <c r="F13" s="28">
        <f ca="1">IF(LEN(INDIRECT(ADDRESS(ROW()-1, COLUMN())))=1,"",INDIRECT(ADDRESS(35,6))-INDIRECT(ADDRESS(35,7)))</f>
        <v>-13</v>
      </c>
      <c r="G13" s="29">
        <f ca="1">IF(LEN(INDIRECT(ADDRESS(ROW()-1, COLUMN())))=1,"",INDIRECT(ADDRESS(18,7))-INDIRECT(ADDRESS(18,6)))</f>
        <v>-5</v>
      </c>
      <c r="H13" s="29">
        <f ca="1">IF(LEN(INDIRECT(ADDRESS(ROW()-1, COLUMN())))=1,"",INDIRECT(ADDRESS(22,6))-INDIRECT(ADDRESS(22,7)))</f>
        <v>-4</v>
      </c>
      <c r="I13" s="29">
        <f ca="1">IF(LEN(INDIRECT(ADDRESS(ROW()-1, COLUMN())))=1,"",INDIRECT(ADDRESS(27,7))-INDIRECT(ADDRESS(27,6)))</f>
        <v>1</v>
      </c>
      <c r="J13" s="30" t="s">
        <v>195</v>
      </c>
      <c r="K13" s="78"/>
      <c r="L13" s="29">
        <f ca="1">IF(COUNT(F13:J13)=0,"",SUM(F13:J13))</f>
        <v>-21</v>
      </c>
      <c r="M13" s="79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3" customFormat="1" ht="21.75" thickBot="1" x14ac:dyDescent="0.4">
      <c r="A17" s="31"/>
      <c r="B17" s="45" t="s">
        <v>196</v>
      </c>
      <c r="C17" s="45"/>
      <c r="D17" s="45"/>
      <c r="E17" s="45"/>
      <c r="F17" s="45"/>
      <c r="G17" s="45"/>
      <c r="H17" s="45"/>
      <c r="I17" s="45"/>
      <c r="J17" s="45"/>
      <c r="K17" s="45"/>
      <c r="M17" s="40"/>
    </row>
    <row r="18" spans="1:13" s="33" customFormat="1" ht="21.75" thickBot="1" x14ac:dyDescent="0.4">
      <c r="A18" s="31"/>
      <c r="B18" s="34">
        <v>2</v>
      </c>
      <c r="C18" s="42" t="str">
        <f ca="1">IF(ISBLANK(INDIRECT(ADDRESS(B18*2+2,3))),"",INDIRECT(ADDRESS(B18*2+2,3)))</f>
        <v>Мурашова</v>
      </c>
      <c r="D18" s="42"/>
      <c r="E18" s="43"/>
      <c r="F18" s="35">
        <v>12</v>
      </c>
      <c r="G18" s="36">
        <v>7</v>
      </c>
      <c r="H18" s="44" t="str">
        <f ca="1">IF(ISBLANK(INDIRECT(ADDRESS(K18*2+2,3))),"",INDIRECT(ADDRESS(K18*2+2,3)))</f>
        <v>Горбулинская</v>
      </c>
      <c r="I18" s="42"/>
      <c r="J18" s="42"/>
      <c r="K18" s="34">
        <v>5</v>
      </c>
      <c r="L18" s="37" t="s">
        <v>197</v>
      </c>
      <c r="M18" s="32"/>
    </row>
    <row r="19" spans="1:13" s="33" customFormat="1" ht="21.75" thickBot="1" x14ac:dyDescent="0.4">
      <c r="A19" s="31"/>
      <c r="B19" s="34">
        <v>3</v>
      </c>
      <c r="C19" s="42" t="str">
        <f ca="1">IF(ISBLANK(INDIRECT(ADDRESS(B19*2+2,3))),"",INDIRECT(ADDRESS(B19*2+2,3)))</f>
        <v>Воронов</v>
      </c>
      <c r="D19" s="42"/>
      <c r="E19" s="43"/>
      <c r="F19" s="35">
        <v>13</v>
      </c>
      <c r="G19" s="36">
        <v>8</v>
      </c>
      <c r="H19" s="44" t="str">
        <f ca="1">IF(ISBLANK(INDIRECT(ADDRESS(K19*2+2,3))),"",INDIRECT(ADDRESS(K19*2+2,3)))</f>
        <v>Головко</v>
      </c>
      <c r="I19" s="42"/>
      <c r="J19" s="42"/>
      <c r="K19" s="34">
        <v>4</v>
      </c>
      <c r="L19" s="37" t="s">
        <v>197</v>
      </c>
      <c r="M19" s="32"/>
    </row>
    <row r="20" spans="1:13" s="33" customFormat="1" ht="21" x14ac:dyDescent="0.35">
      <c r="A20" s="31"/>
      <c r="M20" s="38"/>
    </row>
    <row r="21" spans="1:13" s="33" customFormat="1" ht="21.75" thickBot="1" x14ac:dyDescent="0.4">
      <c r="A21" s="31"/>
      <c r="B21" s="45" t="s">
        <v>198</v>
      </c>
      <c r="C21" s="45"/>
      <c r="D21" s="45"/>
      <c r="E21" s="45"/>
      <c r="F21" s="45"/>
      <c r="G21" s="45"/>
      <c r="H21" s="45"/>
      <c r="I21" s="45"/>
      <c r="J21" s="45"/>
      <c r="K21" s="45"/>
      <c r="M21" s="38"/>
    </row>
    <row r="22" spans="1:13" s="33" customFormat="1" ht="21.75" thickBot="1" x14ac:dyDescent="0.4">
      <c r="A22" s="31"/>
      <c r="B22" s="34">
        <v>5</v>
      </c>
      <c r="C22" s="42" t="str">
        <f ca="1">IF(ISBLANK(INDIRECT(ADDRESS(B22*2+2,3))),"",INDIRECT(ADDRESS(B22*2+2,3)))</f>
        <v>Горбулинская</v>
      </c>
      <c r="D22" s="42"/>
      <c r="E22" s="43"/>
      <c r="F22" s="35">
        <v>8</v>
      </c>
      <c r="G22" s="36">
        <v>12</v>
      </c>
      <c r="H22" s="44" t="str">
        <f ca="1">IF(ISBLANK(INDIRECT(ADDRESS(K22*2+2,3))),"",INDIRECT(ADDRESS(K22*2+2,3)))</f>
        <v>Воронов</v>
      </c>
      <c r="I22" s="42"/>
      <c r="J22" s="42"/>
      <c r="K22" s="34">
        <v>3</v>
      </c>
      <c r="L22" s="37" t="s">
        <v>197</v>
      </c>
      <c r="M22" s="32"/>
    </row>
    <row r="23" spans="1:13" s="33" customFormat="1" ht="21.75" thickBot="1" x14ac:dyDescent="0.4">
      <c r="A23" s="31"/>
      <c r="B23" s="34">
        <v>1</v>
      </c>
      <c r="C23" s="42" t="str">
        <f ca="1">IF(ISBLANK(INDIRECT(ADDRESS(B23*2+2,3))),"",INDIRECT(ADDRESS(B23*2+2,3)))</f>
        <v>Жака</v>
      </c>
      <c r="D23" s="42"/>
      <c r="E23" s="43"/>
      <c r="F23" s="35">
        <v>10</v>
      </c>
      <c r="G23" s="36">
        <v>8</v>
      </c>
      <c r="H23" s="44" t="str">
        <f ca="1">IF(ISBLANK(INDIRECT(ADDRESS(K23*2+2,3))),"",INDIRECT(ADDRESS(K23*2+2,3)))</f>
        <v>Мурашова</v>
      </c>
      <c r="I23" s="42"/>
      <c r="J23" s="42"/>
      <c r="K23" s="34">
        <v>2</v>
      </c>
      <c r="L23" s="37" t="s">
        <v>197</v>
      </c>
      <c r="M23" s="32"/>
    </row>
    <row r="24" spans="1:13" s="33" customFormat="1" ht="21" x14ac:dyDescent="0.35">
      <c r="A24" s="31"/>
      <c r="M24" s="38"/>
    </row>
    <row r="25" spans="1:13" s="33" customFormat="1" ht="21.75" thickBot="1" x14ac:dyDescent="0.4">
      <c r="A25" s="31"/>
      <c r="B25" s="45" t="s">
        <v>199</v>
      </c>
      <c r="C25" s="45"/>
      <c r="D25" s="45"/>
      <c r="E25" s="45"/>
      <c r="F25" s="45"/>
      <c r="G25" s="45"/>
      <c r="H25" s="45"/>
      <c r="I25" s="45"/>
      <c r="J25" s="45"/>
      <c r="K25" s="45"/>
      <c r="M25" s="38"/>
    </row>
    <row r="26" spans="1:13" s="33" customFormat="1" ht="21.75" thickBot="1" x14ac:dyDescent="0.4">
      <c r="A26" s="31"/>
      <c r="B26" s="34">
        <v>3</v>
      </c>
      <c r="C26" s="42" t="str">
        <f ca="1">IF(ISBLANK(INDIRECT(ADDRESS(B26*2+2,3))),"",INDIRECT(ADDRESS(B26*2+2,3)))</f>
        <v>Воронов</v>
      </c>
      <c r="D26" s="42"/>
      <c r="E26" s="43"/>
      <c r="F26" s="35">
        <v>13</v>
      </c>
      <c r="G26" s="36">
        <v>11</v>
      </c>
      <c r="H26" s="44" t="str">
        <f ca="1">IF(ISBLANK(INDIRECT(ADDRESS(K26*2+2,3))),"",INDIRECT(ADDRESS(K26*2+2,3)))</f>
        <v>Жака</v>
      </c>
      <c r="I26" s="42"/>
      <c r="J26" s="42"/>
      <c r="K26" s="34">
        <v>1</v>
      </c>
      <c r="L26" s="37" t="s">
        <v>197</v>
      </c>
      <c r="M26" s="32"/>
    </row>
    <row r="27" spans="1:13" s="33" customFormat="1" ht="21.75" thickBot="1" x14ac:dyDescent="0.4">
      <c r="A27" s="31"/>
      <c r="B27" s="34">
        <v>4</v>
      </c>
      <c r="C27" s="42" t="str">
        <f ca="1">IF(ISBLANK(INDIRECT(ADDRESS(B27*2+2,3))),"",INDIRECT(ADDRESS(B27*2+2,3)))</f>
        <v>Головко</v>
      </c>
      <c r="D27" s="42"/>
      <c r="E27" s="43"/>
      <c r="F27" s="35">
        <v>10</v>
      </c>
      <c r="G27" s="36">
        <v>11</v>
      </c>
      <c r="H27" s="44" t="str">
        <f ca="1">IF(ISBLANK(INDIRECT(ADDRESS(K27*2+2,3))),"",INDIRECT(ADDRESS(K27*2+2,3)))</f>
        <v>Горбулинская</v>
      </c>
      <c r="I27" s="42"/>
      <c r="J27" s="42"/>
      <c r="K27" s="34">
        <v>5</v>
      </c>
      <c r="L27" s="37" t="s">
        <v>197</v>
      </c>
      <c r="M27" s="32"/>
    </row>
    <row r="28" spans="1:13" s="33" customFormat="1" ht="21" x14ac:dyDescent="0.35">
      <c r="A28" s="31"/>
      <c r="M28" s="38"/>
    </row>
    <row r="29" spans="1:13" s="33" customFormat="1" ht="21.75" thickBot="1" x14ac:dyDescent="0.4">
      <c r="A29" s="31"/>
      <c r="B29" s="45" t="s">
        <v>200</v>
      </c>
      <c r="C29" s="45"/>
      <c r="D29" s="45"/>
      <c r="E29" s="45"/>
      <c r="F29" s="45"/>
      <c r="G29" s="45"/>
      <c r="H29" s="45"/>
      <c r="I29" s="45"/>
      <c r="J29" s="45"/>
      <c r="K29" s="45"/>
      <c r="M29" s="38"/>
    </row>
    <row r="30" spans="1:13" s="33" customFormat="1" ht="21.75" thickBot="1" x14ac:dyDescent="0.4">
      <c r="A30" s="31"/>
      <c r="B30" s="34">
        <v>1</v>
      </c>
      <c r="C30" s="42" t="str">
        <f ca="1">IF(ISBLANK(INDIRECT(ADDRESS(B30*2+2,3))),"",INDIRECT(ADDRESS(B30*2+2,3)))</f>
        <v>Жака</v>
      </c>
      <c r="D30" s="42"/>
      <c r="E30" s="43"/>
      <c r="F30" s="35">
        <v>13</v>
      </c>
      <c r="G30" s="36">
        <v>0</v>
      </c>
      <c r="H30" s="44" t="str">
        <f ca="1">IF(ISBLANK(INDIRECT(ADDRESS(K30*2+2,3))),"",INDIRECT(ADDRESS(K30*2+2,3)))</f>
        <v>Головко</v>
      </c>
      <c r="I30" s="42"/>
      <c r="J30" s="42"/>
      <c r="K30" s="34">
        <v>4</v>
      </c>
      <c r="L30" s="37" t="s">
        <v>197</v>
      </c>
      <c r="M30" s="32"/>
    </row>
    <row r="31" spans="1:13" s="33" customFormat="1" ht="21.75" thickBot="1" x14ac:dyDescent="0.4">
      <c r="A31" s="31"/>
      <c r="B31" s="34">
        <v>2</v>
      </c>
      <c r="C31" s="42" t="str">
        <f ca="1">IF(ISBLANK(INDIRECT(ADDRESS(B31*2+2,3))),"",INDIRECT(ADDRESS(B31*2+2,3)))</f>
        <v>Мурашова</v>
      </c>
      <c r="D31" s="42"/>
      <c r="E31" s="43"/>
      <c r="F31" s="35">
        <v>13</v>
      </c>
      <c r="G31" s="36">
        <v>5</v>
      </c>
      <c r="H31" s="44" t="str">
        <f ca="1">IF(ISBLANK(INDIRECT(ADDRESS(K31*2+2,3))),"",INDIRECT(ADDRESS(K31*2+2,3)))</f>
        <v>Воронов</v>
      </c>
      <c r="I31" s="42"/>
      <c r="J31" s="42"/>
      <c r="K31" s="34">
        <v>3</v>
      </c>
      <c r="L31" s="37" t="s">
        <v>197</v>
      </c>
      <c r="M31" s="32"/>
    </row>
    <row r="32" spans="1:13" s="33" customFormat="1" ht="21" x14ac:dyDescent="0.35">
      <c r="A32" s="31"/>
      <c r="M32" s="38"/>
    </row>
    <row r="33" spans="1:13" s="33" customFormat="1" ht="21.75" thickBot="1" x14ac:dyDescent="0.4">
      <c r="A33" s="31"/>
      <c r="B33" s="45" t="s">
        <v>201</v>
      </c>
      <c r="C33" s="45"/>
      <c r="D33" s="45"/>
      <c r="E33" s="45"/>
      <c r="F33" s="45"/>
      <c r="G33" s="45"/>
      <c r="H33" s="45"/>
      <c r="I33" s="45"/>
      <c r="J33" s="45"/>
      <c r="K33" s="45"/>
      <c r="M33" s="38"/>
    </row>
    <row r="34" spans="1:13" s="33" customFormat="1" ht="21.75" thickBot="1" x14ac:dyDescent="0.4">
      <c r="A34" s="31"/>
      <c r="B34" s="34">
        <v>4</v>
      </c>
      <c r="C34" s="42" t="str">
        <f ca="1">IF(ISBLANK(INDIRECT(ADDRESS(B34*2+2,3))),"",INDIRECT(ADDRESS(B34*2+2,3)))</f>
        <v>Головко</v>
      </c>
      <c r="D34" s="42"/>
      <c r="E34" s="43"/>
      <c r="F34" s="35">
        <v>10</v>
      </c>
      <c r="G34" s="36">
        <v>13</v>
      </c>
      <c r="H34" s="44" t="str">
        <f ca="1">IF(ISBLANK(INDIRECT(ADDRESS(K34*2+2,3))),"",INDIRECT(ADDRESS(K34*2+2,3)))</f>
        <v>Мурашова</v>
      </c>
      <c r="I34" s="42"/>
      <c r="J34" s="42"/>
      <c r="K34" s="34">
        <v>2</v>
      </c>
      <c r="L34" s="37" t="s">
        <v>197</v>
      </c>
      <c r="M34" s="32"/>
    </row>
    <row r="35" spans="1:13" s="33" customFormat="1" ht="21.75" thickBot="1" x14ac:dyDescent="0.4">
      <c r="A35" s="31"/>
      <c r="B35" s="34">
        <v>5</v>
      </c>
      <c r="C35" s="42" t="str">
        <f ca="1">IF(ISBLANK(INDIRECT(ADDRESS(B35*2+2,3))),"",INDIRECT(ADDRESS(B35*2+2,3)))</f>
        <v>Горбулинская</v>
      </c>
      <c r="D35" s="42"/>
      <c r="E35" s="43"/>
      <c r="F35" s="35">
        <v>0</v>
      </c>
      <c r="G35" s="36">
        <v>13</v>
      </c>
      <c r="H35" s="44" t="str">
        <f ca="1">IF(ISBLANK(INDIRECT(ADDRESS(K35*2+2,3))),"",INDIRECT(ADDRESS(K35*2+2,3)))</f>
        <v>Жака</v>
      </c>
      <c r="I35" s="42"/>
      <c r="J35" s="42"/>
      <c r="K35" s="34">
        <v>1</v>
      </c>
      <c r="L35" s="37" t="s">
        <v>197</v>
      </c>
      <c r="M35" s="32"/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Регистрация</vt:lpstr>
      <vt:lpstr>A</vt:lpstr>
      <vt:lpstr>B</vt:lpstr>
      <vt:lpstr>C</vt:lpstr>
      <vt:lpstr>D</vt:lpstr>
      <vt:lpstr>E</vt:lpstr>
      <vt:lpstr>F</vt:lpstr>
      <vt:lpstr>G</vt:lpstr>
      <vt:lpstr>H</vt:lpstr>
      <vt:lpstr>Швейцарка</vt:lpstr>
      <vt:lpstr>Плей-офф</vt:lpstr>
      <vt:lpstr>Рейтинг жен</vt:lpstr>
      <vt:lpstr>Рейтинг муж</vt:lpstr>
      <vt:lpstr>Швейцарка!swiss_res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User</cp:lastModifiedBy>
  <cp:lastPrinted>2023-12-02T08:01:08Z</cp:lastPrinted>
  <dcterms:created xsi:type="dcterms:W3CDTF">2023-11-30T08:03:09Z</dcterms:created>
  <dcterms:modified xsi:type="dcterms:W3CDTF">2023-12-03T15:04:48Z</dcterms:modified>
</cp:coreProperties>
</file>